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06D76B4-8773-4187-881B-BB350E9D0767}" xr6:coauthVersionLast="40" xr6:coauthVersionMax="40" xr10:uidLastSave="{00000000-0000-0000-0000-000000000000}"/>
  <bookViews>
    <workbookView xWindow="0" yWindow="0" windowWidth="20490" windowHeight="7485" firstSheet="2" activeTab="2" xr2:uid="{00000000-000D-0000-FFFF-FFFF00000000}"/>
  </bookViews>
  <sheets>
    <sheet name="Hoja1" sheetId="1" state="hidden" r:id="rId1"/>
    <sheet name="PPTO. 2018" sheetId="2" state="hidden" r:id="rId2"/>
    <sheet name="PPTO A PRESENTAR 2018" sheetId="6" r:id="rId3"/>
    <sheet name="Hoja2" sheetId="8" state="hidden" r:id="rId4"/>
    <sheet name="Hoja3 (2)" sheetId="7" state="hidden" r:id="rId5"/>
    <sheet name="OCTUBRE" sheetId="9" state="hidden" r:id="rId6"/>
  </sheets>
  <definedNames>
    <definedName name="_xlnm._FilterDatabase" localSheetId="2" hidden="1">'PPTO A PRESENTAR 2018'!$A$4:$Q$191</definedName>
    <definedName name="_xlnm.Print_Titles" localSheetId="1">'PPTO. 2018'!$1:$3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6" l="1"/>
  <c r="O7" i="6"/>
  <c r="P188" i="6"/>
  <c r="O180" i="6"/>
  <c r="P21" i="6"/>
  <c r="P79" i="6"/>
  <c r="P74" i="6"/>
  <c r="O60" i="6"/>
  <c r="C74" i="6"/>
  <c r="O104" i="6" l="1"/>
  <c r="O90" i="6"/>
  <c r="O81" i="6"/>
  <c r="O59" i="6" s="1"/>
  <c r="O76" i="6"/>
  <c r="O54" i="6"/>
  <c r="P182" i="6"/>
  <c r="P183" i="6"/>
  <c r="P14" i="6" l="1"/>
  <c r="O187" i="6" l="1"/>
  <c r="O185" i="6"/>
  <c r="O179" i="6"/>
  <c r="O171" i="6"/>
  <c r="O167" i="6"/>
  <c r="O164" i="6"/>
  <c r="O154" i="6"/>
  <c r="O151" i="6"/>
  <c r="O139" i="6"/>
  <c r="O135" i="6"/>
  <c r="O126" i="6"/>
  <c r="O122" i="6"/>
  <c r="O117" i="6"/>
  <c r="O113" i="6"/>
  <c r="O109" i="6"/>
  <c r="O100" i="6"/>
  <c r="O95" i="6"/>
  <c r="O52" i="6"/>
  <c r="O45" i="6" s="1"/>
  <c r="O37" i="6"/>
  <c r="O33" i="6"/>
  <c r="O22" i="6"/>
  <c r="O15" i="6"/>
  <c r="O6" i="6"/>
  <c r="P137" i="6"/>
  <c r="P189" i="6" l="1"/>
  <c r="P190" i="6"/>
  <c r="P186" i="6"/>
  <c r="P184" i="6"/>
  <c r="P181" i="6"/>
  <c r="P173" i="6"/>
  <c r="P174" i="6"/>
  <c r="P175" i="6"/>
  <c r="P176" i="6"/>
  <c r="P177" i="6"/>
  <c r="P178" i="6"/>
  <c r="P172" i="6"/>
  <c r="P168" i="6"/>
  <c r="P166" i="6"/>
  <c r="P165" i="6"/>
  <c r="P156" i="6"/>
  <c r="P157" i="6"/>
  <c r="P158" i="6"/>
  <c r="P159" i="6"/>
  <c r="P160" i="6"/>
  <c r="P161" i="6"/>
  <c r="P162" i="6"/>
  <c r="P163" i="6"/>
  <c r="P155" i="6"/>
  <c r="P153" i="6"/>
  <c r="P152" i="6"/>
  <c r="P141" i="6"/>
  <c r="P142" i="6"/>
  <c r="P143" i="6"/>
  <c r="P144" i="6"/>
  <c r="P145" i="6"/>
  <c r="P146" i="6"/>
  <c r="P147" i="6"/>
  <c r="P148" i="6"/>
  <c r="P149" i="6"/>
  <c r="P150" i="6"/>
  <c r="P140" i="6"/>
  <c r="P138" i="6"/>
  <c r="P136" i="6"/>
  <c r="P128" i="6"/>
  <c r="P130" i="6"/>
  <c r="P131" i="6"/>
  <c r="P127" i="6"/>
  <c r="P124" i="6"/>
  <c r="P125" i="6"/>
  <c r="P123" i="6"/>
  <c r="P119" i="6"/>
  <c r="P120" i="6"/>
  <c r="P118" i="6"/>
  <c r="P115" i="6"/>
  <c r="P116" i="6"/>
  <c r="P114" i="6"/>
  <c r="P111" i="6"/>
  <c r="P112" i="6"/>
  <c r="P110" i="6"/>
  <c r="P106" i="6"/>
  <c r="P107" i="6"/>
  <c r="P108" i="6"/>
  <c r="P105" i="6"/>
  <c r="P102" i="6"/>
  <c r="P103" i="6"/>
  <c r="P101" i="6"/>
  <c r="P97" i="6"/>
  <c r="P98" i="6"/>
  <c r="P99" i="6"/>
  <c r="P96" i="6"/>
  <c r="P92" i="6"/>
  <c r="P93" i="6"/>
  <c r="P94" i="6"/>
  <c r="P91" i="6"/>
  <c r="P83" i="6"/>
  <c r="P84" i="6"/>
  <c r="P85" i="6"/>
  <c r="P86" i="6"/>
  <c r="P87" i="6"/>
  <c r="P88" i="6"/>
  <c r="P89" i="6"/>
  <c r="P82" i="6"/>
  <c r="P78" i="6"/>
  <c r="P80" i="6"/>
  <c r="P77" i="6"/>
  <c r="P62" i="6"/>
  <c r="P63" i="6"/>
  <c r="P65" i="6"/>
  <c r="P60" i="6" s="1"/>
  <c r="P66" i="6"/>
  <c r="P67" i="6"/>
  <c r="P69" i="6"/>
  <c r="P70" i="6"/>
  <c r="P71" i="6"/>
  <c r="P72" i="6"/>
  <c r="P73" i="6"/>
  <c r="P75" i="6"/>
  <c r="P61" i="6"/>
  <c r="P56" i="6"/>
  <c r="P57" i="6"/>
  <c r="P58" i="6"/>
  <c r="P55" i="6"/>
  <c r="P53" i="6"/>
  <c r="P47" i="6"/>
  <c r="P48" i="6"/>
  <c r="P49" i="6"/>
  <c r="P50" i="6"/>
  <c r="P51" i="6"/>
  <c r="P46" i="6"/>
  <c r="P39" i="6"/>
  <c r="P40" i="6"/>
  <c r="P41" i="6"/>
  <c r="P42" i="6"/>
  <c r="P43" i="6"/>
  <c r="P38" i="6"/>
  <c r="P35" i="6"/>
  <c r="Q35" i="6" s="1"/>
  <c r="P36" i="6"/>
  <c r="P34" i="6"/>
  <c r="P24" i="6"/>
  <c r="P25" i="6"/>
  <c r="P26" i="6"/>
  <c r="P27" i="6"/>
  <c r="P28" i="6"/>
  <c r="P29" i="6"/>
  <c r="P30" i="6"/>
  <c r="P31" i="6"/>
  <c r="P32" i="6"/>
  <c r="P23" i="6"/>
  <c r="P18" i="6"/>
  <c r="P17" i="6" s="1"/>
  <c r="P16" i="6"/>
  <c r="P8" i="6"/>
  <c r="P9" i="6"/>
  <c r="P10" i="6"/>
  <c r="P11" i="6"/>
  <c r="P12" i="6"/>
  <c r="Q12" i="6" s="1"/>
  <c r="P13" i="6"/>
  <c r="P7" i="6"/>
  <c r="Q7" i="6" s="1"/>
  <c r="F19" i="9"/>
  <c r="P6" i="6" l="1"/>
  <c r="P139" i="6"/>
  <c r="P37" i="6"/>
  <c r="N60" i="6"/>
  <c r="O121" i="6" l="1"/>
  <c r="O134" i="6"/>
  <c r="O133" i="6" s="1"/>
  <c r="O132" i="6" s="1"/>
  <c r="N52" i="6" l="1"/>
  <c r="N45" i="6" s="1"/>
  <c r="O17" i="6"/>
  <c r="M54" i="6"/>
  <c r="O44" i="6" l="1"/>
  <c r="O21" i="6"/>
  <c r="O20" i="6" l="1"/>
  <c r="O19" i="6" s="1"/>
  <c r="O5" i="6"/>
  <c r="N135" i="6"/>
  <c r="M135" i="6"/>
  <c r="O191" i="6" l="1"/>
  <c r="K48" i="9"/>
  <c r="Q186" i="6" l="1"/>
  <c r="Q182" i="6"/>
  <c r="Q183" i="6"/>
  <c r="Q184" i="6"/>
  <c r="Q173" i="6"/>
  <c r="Q172" i="6"/>
  <c r="Q168" i="6"/>
  <c r="Q166" i="6"/>
  <c r="Q165" i="6"/>
  <c r="Q156" i="6"/>
  <c r="Q157" i="6"/>
  <c r="Q158" i="6"/>
  <c r="Q159" i="6"/>
  <c r="Q160" i="6"/>
  <c r="Q161" i="6"/>
  <c r="Q162" i="6"/>
  <c r="Q163" i="6"/>
  <c r="Q155" i="6"/>
  <c r="Q153" i="6"/>
  <c r="Q152" i="6"/>
  <c r="Q141" i="6"/>
  <c r="Q142" i="6"/>
  <c r="Q143" i="6"/>
  <c r="Q144" i="6"/>
  <c r="Q145" i="6"/>
  <c r="Q146" i="6"/>
  <c r="Q147" i="6"/>
  <c r="Q148" i="6"/>
  <c r="Q149" i="6"/>
  <c r="Q150" i="6"/>
  <c r="Q140" i="6"/>
  <c r="Q137" i="6"/>
  <c r="Q138" i="6"/>
  <c r="Q136" i="6"/>
  <c r="Q127" i="6"/>
  <c r="Q124" i="6"/>
  <c r="Q125" i="6"/>
  <c r="Q123" i="6"/>
  <c r="Q119" i="6"/>
  <c r="Q120" i="6"/>
  <c r="Q118" i="6"/>
  <c r="Q115" i="6"/>
  <c r="Q112" i="6"/>
  <c r="Q111" i="6"/>
  <c r="Q110" i="6"/>
  <c r="Q106" i="6"/>
  <c r="Q107" i="6"/>
  <c r="Q108" i="6"/>
  <c r="Q105" i="6"/>
  <c r="Q102" i="6"/>
  <c r="Q103" i="6"/>
  <c r="Q101" i="6"/>
  <c r="Q97" i="6"/>
  <c r="Q98" i="6"/>
  <c r="Q99" i="6"/>
  <c r="Q96" i="6"/>
  <c r="Q92" i="6"/>
  <c r="Q93" i="6"/>
  <c r="Q94" i="6"/>
  <c r="Q91" i="6"/>
  <c r="Q83" i="6"/>
  <c r="Q84" i="6"/>
  <c r="Q85" i="6"/>
  <c r="Q86" i="6"/>
  <c r="Q87" i="6"/>
  <c r="Q88" i="6"/>
  <c r="Q89" i="6"/>
  <c r="Q82" i="6"/>
  <c r="Q78" i="6"/>
  <c r="Q79" i="6"/>
  <c r="Q80" i="6"/>
  <c r="Q77" i="6"/>
  <c r="Q62" i="6"/>
  <c r="Q63" i="6"/>
  <c r="Q65" i="6"/>
  <c r="Q66" i="6"/>
  <c r="Q67" i="6"/>
  <c r="Q70" i="6"/>
  <c r="Q71" i="6"/>
  <c r="Q72" i="6"/>
  <c r="Q73" i="6"/>
  <c r="Q75" i="6"/>
  <c r="Q61" i="6"/>
  <c r="Q56" i="6"/>
  <c r="Q57" i="6"/>
  <c r="Q58" i="6"/>
  <c r="Q55" i="6"/>
  <c r="Q53" i="6"/>
  <c r="Q47" i="6"/>
  <c r="Q48" i="6"/>
  <c r="Q49" i="6"/>
  <c r="Q50" i="6"/>
  <c r="Q51" i="6"/>
  <c r="Q39" i="6"/>
  <c r="Q40" i="6"/>
  <c r="Q41" i="6"/>
  <c r="Q42" i="6"/>
  <c r="Q43" i="6"/>
  <c r="Q38" i="6"/>
  <c r="Q24" i="6"/>
  <c r="Q25" i="6"/>
  <c r="Q26" i="6"/>
  <c r="Q27" i="6"/>
  <c r="Q28" i="6"/>
  <c r="Q29" i="6"/>
  <c r="Q30" i="6"/>
  <c r="Q31" i="6"/>
  <c r="Q32" i="6"/>
  <c r="Q23" i="6"/>
  <c r="Q18" i="6"/>
  <c r="Q9" i="6"/>
  <c r="Q10" i="6"/>
  <c r="Q11" i="6"/>
  <c r="Q13" i="6"/>
  <c r="Q14" i="6"/>
  <c r="P15" i="6" l="1"/>
  <c r="P5" i="6" s="1"/>
  <c r="Q16" i="6"/>
  <c r="P22" i="6"/>
  <c r="P151" i="6"/>
  <c r="N187" i="6"/>
  <c r="N185" i="6"/>
  <c r="N180" i="6"/>
  <c r="N179" i="6" s="1"/>
  <c r="N171" i="6"/>
  <c r="N167" i="6"/>
  <c r="N164" i="6"/>
  <c r="N154" i="6"/>
  <c r="N151" i="6"/>
  <c r="N139" i="6"/>
  <c r="N126" i="6"/>
  <c r="N122" i="6"/>
  <c r="N117" i="6"/>
  <c r="N113" i="6"/>
  <c r="N109" i="6"/>
  <c r="N104" i="6"/>
  <c r="N100" i="6"/>
  <c r="N95" i="6"/>
  <c r="N90" i="6"/>
  <c r="N81" i="6"/>
  <c r="N76" i="6"/>
  <c r="N37" i="6"/>
  <c r="N33" i="6"/>
  <c r="N22" i="6"/>
  <c r="N17" i="6"/>
  <c r="N15" i="6"/>
  <c r="N6" i="6"/>
  <c r="N134" i="6" l="1"/>
  <c r="N133" i="6" s="1"/>
  <c r="N132" i="6" s="1"/>
  <c r="N121" i="6"/>
  <c r="N59" i="6"/>
  <c r="N44" i="6" s="1"/>
  <c r="N21" i="6"/>
  <c r="N5" i="6"/>
  <c r="N20" i="6" l="1"/>
  <c r="N19" i="6" s="1"/>
  <c r="N191" i="6" s="1"/>
  <c r="L109" i="6" l="1"/>
  <c r="G33" i="9" l="1"/>
  <c r="G44" i="9"/>
  <c r="F11" i="9"/>
  <c r="F7" i="9"/>
  <c r="G51" i="9" l="1"/>
  <c r="H7" i="9"/>
  <c r="M187" i="6"/>
  <c r="M185" i="6"/>
  <c r="M180" i="6"/>
  <c r="M179" i="6" s="1"/>
  <c r="M171" i="6"/>
  <c r="M167" i="6"/>
  <c r="M164" i="6"/>
  <c r="M154" i="6"/>
  <c r="M151" i="6"/>
  <c r="M139" i="6"/>
  <c r="M126" i="6"/>
  <c r="M122" i="6"/>
  <c r="M117" i="6"/>
  <c r="M113" i="6"/>
  <c r="M109" i="6"/>
  <c r="M104" i="6"/>
  <c r="M100" i="6"/>
  <c r="M95" i="6"/>
  <c r="M90" i="6"/>
  <c r="M81" i="6"/>
  <c r="M76" i="6"/>
  <c r="M60" i="6"/>
  <c r="P52" i="6"/>
  <c r="M52" i="6"/>
  <c r="L52" i="6"/>
  <c r="M37" i="6"/>
  <c r="M33" i="6"/>
  <c r="M22" i="6"/>
  <c r="M17" i="6"/>
  <c r="M15" i="6"/>
  <c r="M6" i="6"/>
  <c r="M134" i="6" l="1"/>
  <c r="M133" i="6" s="1"/>
  <c r="M132" i="6" s="1"/>
  <c r="M121" i="6"/>
  <c r="M45" i="6"/>
  <c r="P135" i="6"/>
  <c r="M5" i="6"/>
  <c r="P90" i="6"/>
  <c r="P100" i="6"/>
  <c r="P33" i="6"/>
  <c r="M21" i="6"/>
  <c r="M59" i="6"/>
  <c r="M44" i="6" l="1"/>
  <c r="M20" i="6" s="1"/>
  <c r="M19" i="6" s="1"/>
  <c r="M191" i="6" l="1"/>
  <c r="L6" i="6"/>
  <c r="L135" i="6" l="1"/>
  <c r="K187" i="6" l="1"/>
  <c r="K185" i="6"/>
  <c r="K180" i="6"/>
  <c r="K179" i="6" s="1"/>
  <c r="K171" i="6"/>
  <c r="K167" i="6"/>
  <c r="K164" i="6"/>
  <c r="K154" i="6"/>
  <c r="K151" i="6"/>
  <c r="K139" i="6"/>
  <c r="K135" i="6"/>
  <c r="K126" i="6"/>
  <c r="K122" i="6"/>
  <c r="K117" i="6"/>
  <c r="K113" i="6"/>
  <c r="K109" i="6"/>
  <c r="K104" i="6"/>
  <c r="K100" i="6"/>
  <c r="K95" i="6"/>
  <c r="K90" i="6"/>
  <c r="K81" i="6"/>
  <c r="K76" i="6"/>
  <c r="K60" i="6"/>
  <c r="K54" i="6"/>
  <c r="K52" i="6"/>
  <c r="K37" i="6"/>
  <c r="K33" i="6"/>
  <c r="K22" i="6"/>
  <c r="K17" i="6"/>
  <c r="K15" i="6"/>
  <c r="K6" i="6"/>
  <c r="K121" i="6" l="1"/>
  <c r="K45" i="6"/>
  <c r="K134" i="6"/>
  <c r="K133" i="6" s="1"/>
  <c r="K132" i="6" s="1"/>
  <c r="K59" i="6"/>
  <c r="K21" i="6"/>
  <c r="K5" i="6"/>
  <c r="K44" i="6" l="1"/>
  <c r="K20" i="6" s="1"/>
  <c r="K19" i="6" s="1"/>
  <c r="K191" i="6" s="1"/>
  <c r="L187" i="6"/>
  <c r="P167" i="6" l="1"/>
  <c r="P185" i="6"/>
  <c r="L122" i="6" l="1"/>
  <c r="L171" i="6"/>
  <c r="L167" i="6"/>
  <c r="L154" i="6"/>
  <c r="L185" i="6"/>
  <c r="P117" i="6" l="1"/>
  <c r="P187" i="6"/>
  <c r="L180" i="6"/>
  <c r="L179" i="6" s="1"/>
  <c r="P180" i="6"/>
  <c r="L37" i="6"/>
  <c r="L117" i="6"/>
  <c r="P113" i="6"/>
  <c r="L113" i="6"/>
  <c r="L104" i="6"/>
  <c r="L100" i="6"/>
  <c r="L95" i="6"/>
  <c r="L90" i="6"/>
  <c r="L81" i="6"/>
  <c r="P179" i="6" l="1"/>
  <c r="P104" i="6"/>
  <c r="P95" i="6"/>
  <c r="P171" i="6"/>
  <c r="P164" i="6"/>
  <c r="P122" i="6"/>
  <c r="P154" i="6"/>
  <c r="P109" i="6"/>
  <c r="L76" i="6"/>
  <c r="P81" i="6" l="1"/>
  <c r="P76" i="6"/>
  <c r="L60" i="6"/>
  <c r="L59" i="6" s="1"/>
  <c r="L54" i="6"/>
  <c r="L33" i="6"/>
  <c r="L17" i="6"/>
  <c r="L22" i="6"/>
  <c r="L21" i="6" l="1"/>
  <c r="P54" i="6"/>
  <c r="L45" i="6"/>
  <c r="L44" i="6" s="1"/>
  <c r="P45" i="6" l="1"/>
  <c r="L15" i="6"/>
  <c r="L5" i="6" s="1"/>
  <c r="L126" i="6"/>
  <c r="L121" i="6" s="1"/>
  <c r="L20" i="6" s="1"/>
  <c r="L164" i="6"/>
  <c r="L151" i="6"/>
  <c r="L139" i="6" l="1"/>
  <c r="L134" i="6" s="1"/>
  <c r="L133" i="6" s="1"/>
  <c r="L132" i="6" s="1"/>
  <c r="L19" i="6" l="1"/>
  <c r="L191" i="6" l="1"/>
  <c r="J60" i="6" l="1"/>
  <c r="P169" i="6"/>
  <c r="P134" i="6" s="1"/>
  <c r="P170" i="6"/>
  <c r="Q170" i="6" s="1"/>
  <c r="Q174" i="6"/>
  <c r="Q175" i="6"/>
  <c r="Q176" i="6"/>
  <c r="Q177" i="6"/>
  <c r="Q178" i="6"/>
  <c r="J187" i="6"/>
  <c r="J185" i="6"/>
  <c r="J180" i="6"/>
  <c r="J179" i="6" s="1"/>
  <c r="J171" i="6"/>
  <c r="J167" i="6"/>
  <c r="J164" i="6"/>
  <c r="J154" i="6"/>
  <c r="J151" i="6"/>
  <c r="J139" i="6"/>
  <c r="J135" i="6"/>
  <c r="J126" i="6"/>
  <c r="J122" i="6"/>
  <c r="J117" i="6"/>
  <c r="J113" i="6"/>
  <c r="J109" i="6"/>
  <c r="J104" i="6"/>
  <c r="J100" i="6"/>
  <c r="J95" i="6"/>
  <c r="J90" i="6"/>
  <c r="J81" i="6"/>
  <c r="J76" i="6"/>
  <c r="J54" i="6"/>
  <c r="J52" i="6"/>
  <c r="J37" i="6"/>
  <c r="J33" i="6"/>
  <c r="J22" i="6"/>
  <c r="J17" i="6"/>
  <c r="J15" i="6"/>
  <c r="J6" i="6"/>
  <c r="P133" i="6" l="1"/>
  <c r="J121" i="6"/>
  <c r="J45" i="6"/>
  <c r="J59" i="6"/>
  <c r="J5" i="6"/>
  <c r="J21" i="6"/>
  <c r="J134" i="6"/>
  <c r="J133" i="6" s="1"/>
  <c r="J132" i="6" s="1"/>
  <c r="P132" i="6" l="1"/>
  <c r="J44" i="6"/>
  <c r="I151" i="6"/>
  <c r="J20" i="6" l="1"/>
  <c r="I187" i="6"/>
  <c r="I185" i="6"/>
  <c r="I180" i="6"/>
  <c r="I171" i="6"/>
  <c r="I167" i="6"/>
  <c r="I164" i="6"/>
  <c r="I154" i="6"/>
  <c r="I139" i="6"/>
  <c r="I135" i="6"/>
  <c r="I126" i="6"/>
  <c r="I122" i="6"/>
  <c r="I117" i="6"/>
  <c r="I113" i="6"/>
  <c r="I109" i="6"/>
  <c r="I104" i="6"/>
  <c r="I100" i="6"/>
  <c r="I95" i="6"/>
  <c r="I90" i="6"/>
  <c r="I81" i="6"/>
  <c r="I76" i="6"/>
  <c r="I60" i="6"/>
  <c r="I54" i="6"/>
  <c r="I52" i="6"/>
  <c r="I37" i="6"/>
  <c r="I33" i="6"/>
  <c r="I22" i="6"/>
  <c r="I17" i="6"/>
  <c r="I15" i="6"/>
  <c r="I6" i="6"/>
  <c r="I59" i="6" l="1"/>
  <c r="J19" i="6"/>
  <c r="J191" i="6" s="1"/>
  <c r="I45" i="6"/>
  <c r="I179" i="6"/>
  <c r="I5" i="6"/>
  <c r="I134" i="6"/>
  <c r="I133" i="6" s="1"/>
  <c r="I121" i="6"/>
  <c r="I21" i="6"/>
  <c r="C16" i="8"/>
  <c r="C15" i="8" s="1"/>
  <c r="B16" i="8"/>
  <c r="I132" i="6" l="1"/>
  <c r="I44" i="6"/>
  <c r="C13" i="8"/>
  <c r="C11" i="8"/>
  <c r="C2" i="8" s="1"/>
  <c r="B15" i="8"/>
  <c r="B13" i="8" s="1"/>
  <c r="B22" i="8" s="1"/>
  <c r="C22" i="8" l="1"/>
  <c r="I20" i="6"/>
  <c r="D17" i="6"/>
  <c r="E17" i="6"/>
  <c r="F17" i="6"/>
  <c r="G17" i="6"/>
  <c r="H17" i="6"/>
  <c r="I19" i="6" l="1"/>
  <c r="H52" i="6"/>
  <c r="G13" i="7"/>
  <c r="H151" i="6"/>
  <c r="I191" i="6" l="1"/>
  <c r="H187" i="6"/>
  <c r="H185" i="6"/>
  <c r="H180" i="6"/>
  <c r="H171" i="6"/>
  <c r="H167" i="6"/>
  <c r="H164" i="6"/>
  <c r="H154" i="6"/>
  <c r="H139" i="6"/>
  <c r="H135" i="6"/>
  <c r="H126" i="6"/>
  <c r="H122" i="6"/>
  <c r="H117" i="6"/>
  <c r="H113" i="6"/>
  <c r="H109" i="6"/>
  <c r="H104" i="6"/>
  <c r="H100" i="6"/>
  <c r="H95" i="6"/>
  <c r="H90" i="6"/>
  <c r="H81" i="6"/>
  <c r="H76" i="6"/>
  <c r="H54" i="6"/>
  <c r="H45" i="6" s="1"/>
  <c r="H60" i="6"/>
  <c r="H37" i="6"/>
  <c r="H33" i="6"/>
  <c r="H22" i="6"/>
  <c r="H15" i="6"/>
  <c r="H6" i="6"/>
  <c r="H179" i="6" l="1"/>
  <c r="H121" i="6"/>
  <c r="H21" i="6"/>
  <c r="H134" i="6"/>
  <c r="H59" i="6"/>
  <c r="H5" i="6"/>
  <c r="H133" i="6" l="1"/>
  <c r="H44" i="6"/>
  <c r="H132" i="6" l="1"/>
  <c r="H20" i="6"/>
  <c r="F13" i="7"/>
  <c r="F3" i="7"/>
  <c r="F10" i="7"/>
  <c r="F187" i="6"/>
  <c r="F185" i="6"/>
  <c r="F180" i="6"/>
  <c r="F179" i="6" s="1"/>
  <c r="F171" i="6"/>
  <c r="F167" i="6"/>
  <c r="F164" i="6"/>
  <c r="F154" i="6"/>
  <c r="F151" i="6"/>
  <c r="F139" i="6"/>
  <c r="F135" i="6"/>
  <c r="F126" i="6"/>
  <c r="F122" i="6"/>
  <c r="F117" i="6"/>
  <c r="F113" i="6"/>
  <c r="F109" i="6"/>
  <c r="F104" i="6"/>
  <c r="F100" i="6"/>
  <c r="F95" i="6"/>
  <c r="F90" i="6"/>
  <c r="F81" i="6"/>
  <c r="F76" i="6"/>
  <c r="F60" i="6"/>
  <c r="F54" i="6"/>
  <c r="F52" i="6"/>
  <c r="F37" i="6"/>
  <c r="F33" i="6"/>
  <c r="F22" i="6"/>
  <c r="F15" i="6"/>
  <c r="F6" i="6"/>
  <c r="G187" i="6"/>
  <c r="G185" i="6"/>
  <c r="G180" i="6"/>
  <c r="G179" i="6" s="1"/>
  <c r="G171" i="6"/>
  <c r="G167" i="6"/>
  <c r="G164" i="6"/>
  <c r="G154" i="6"/>
  <c r="G151" i="6"/>
  <c r="G139" i="6"/>
  <c r="G135" i="6"/>
  <c r="G126" i="6"/>
  <c r="G122" i="6"/>
  <c r="G117" i="6"/>
  <c r="G113" i="6"/>
  <c r="G109" i="6"/>
  <c r="G104" i="6"/>
  <c r="G100" i="6"/>
  <c r="G95" i="6"/>
  <c r="G90" i="6"/>
  <c r="G81" i="6"/>
  <c r="G76" i="6"/>
  <c r="G60" i="6"/>
  <c r="G54" i="6"/>
  <c r="G52" i="6"/>
  <c r="G37" i="6"/>
  <c r="G33" i="6"/>
  <c r="G22" i="6"/>
  <c r="G15" i="6"/>
  <c r="G6" i="6"/>
  <c r="F45" i="6" l="1"/>
  <c r="F121" i="6"/>
  <c r="F5" i="6"/>
  <c r="F59" i="6"/>
  <c r="H19" i="6"/>
  <c r="H191" i="6" s="1"/>
  <c r="G121" i="6"/>
  <c r="G45" i="6"/>
  <c r="G21" i="6"/>
  <c r="F21" i="6"/>
  <c r="F134" i="6"/>
  <c r="F133" i="6" s="1"/>
  <c r="F132" i="6" s="1"/>
  <c r="G134" i="6"/>
  <c r="G59" i="6"/>
  <c r="G5" i="6"/>
  <c r="F44" i="6" l="1"/>
  <c r="F20" i="6" s="1"/>
  <c r="F19" i="6" s="1"/>
  <c r="F191" i="6" s="1"/>
  <c r="G133" i="6"/>
  <c r="G44" i="6"/>
  <c r="G132" i="6" l="1"/>
  <c r="G20" i="6"/>
  <c r="E14" i="7"/>
  <c r="E6" i="7"/>
  <c r="E13" i="7" s="1"/>
  <c r="G19" i="6" l="1"/>
  <c r="G191" i="6" l="1"/>
  <c r="E129" i="6"/>
  <c r="P129" i="6" l="1"/>
  <c r="P126" i="6" s="1"/>
  <c r="E60" i="6"/>
  <c r="D2" i="7"/>
  <c r="D13" i="7" s="1"/>
  <c r="C6" i="7"/>
  <c r="C4" i="7"/>
  <c r="Q129" i="6" l="1"/>
  <c r="P121" i="6"/>
  <c r="P20" i="6" s="1"/>
  <c r="E167" i="6"/>
  <c r="E187" i="6"/>
  <c r="E185" i="6"/>
  <c r="E180" i="6"/>
  <c r="E179" i="6" s="1"/>
  <c r="E171" i="6"/>
  <c r="E164" i="6"/>
  <c r="E154" i="6"/>
  <c r="E151" i="6"/>
  <c r="E139" i="6"/>
  <c r="E135" i="6"/>
  <c r="E126" i="6"/>
  <c r="E122" i="6"/>
  <c r="E117" i="6"/>
  <c r="E113" i="6"/>
  <c r="E109" i="6"/>
  <c r="E104" i="6"/>
  <c r="E100" i="6"/>
  <c r="E95" i="6"/>
  <c r="E90" i="6"/>
  <c r="E81" i="6"/>
  <c r="E76" i="6"/>
  <c r="E54" i="6"/>
  <c r="E52" i="6"/>
  <c r="E37" i="6"/>
  <c r="E33" i="6"/>
  <c r="E22" i="6"/>
  <c r="E15" i="6"/>
  <c r="E6" i="6"/>
  <c r="E45" i="6" l="1"/>
  <c r="E59" i="6"/>
  <c r="E5" i="6"/>
  <c r="E134" i="6"/>
  <c r="E121" i="6"/>
  <c r="E21" i="6"/>
  <c r="C184" i="6"/>
  <c r="B180" i="6"/>
  <c r="Q180" i="6" s="1"/>
  <c r="C182" i="6"/>
  <c r="C186" i="6"/>
  <c r="C185" i="6" s="1"/>
  <c r="C183" i="6"/>
  <c r="C173" i="6"/>
  <c r="C172" i="6"/>
  <c r="C168" i="6"/>
  <c r="C167" i="6" s="1"/>
  <c r="C166" i="6"/>
  <c r="C165" i="6"/>
  <c r="C163" i="6"/>
  <c r="C162" i="6"/>
  <c r="C161" i="6"/>
  <c r="C160" i="6"/>
  <c r="C159" i="6"/>
  <c r="C158" i="6"/>
  <c r="C157" i="6"/>
  <c r="C156" i="6"/>
  <c r="C155" i="6"/>
  <c r="C153" i="6"/>
  <c r="C152" i="6"/>
  <c r="C150" i="6"/>
  <c r="C149" i="6"/>
  <c r="C148" i="6"/>
  <c r="C147" i="6"/>
  <c r="C146" i="6"/>
  <c r="C145" i="6"/>
  <c r="C144" i="6"/>
  <c r="C143" i="6"/>
  <c r="C142" i="6"/>
  <c r="C141" i="6"/>
  <c r="C140" i="6"/>
  <c r="C138" i="6"/>
  <c r="C137" i="6"/>
  <c r="C136" i="6"/>
  <c r="C129" i="6"/>
  <c r="C127" i="6"/>
  <c r="C125" i="6"/>
  <c r="C124" i="6"/>
  <c r="C123" i="6"/>
  <c r="C120" i="6"/>
  <c r="C119" i="6"/>
  <c r="C118" i="6"/>
  <c r="C115" i="6"/>
  <c r="C112" i="6"/>
  <c r="C111" i="6"/>
  <c r="C110" i="6"/>
  <c r="C108" i="6"/>
  <c r="C107" i="6"/>
  <c r="C106" i="6"/>
  <c r="C105" i="6"/>
  <c r="C103" i="6"/>
  <c r="C102" i="6"/>
  <c r="C101" i="6"/>
  <c r="C99" i="6"/>
  <c r="C98" i="6"/>
  <c r="C97" i="6"/>
  <c r="C96" i="6"/>
  <c r="C94" i="6"/>
  <c r="C93" i="6"/>
  <c r="C92" i="6"/>
  <c r="C91" i="6"/>
  <c r="C89" i="6"/>
  <c r="C88" i="6"/>
  <c r="C87" i="6"/>
  <c r="C86" i="6"/>
  <c r="C85" i="6"/>
  <c r="C84" i="6"/>
  <c r="C83" i="6"/>
  <c r="C82" i="6"/>
  <c r="C80" i="6"/>
  <c r="C79" i="6"/>
  <c r="C78" i="6"/>
  <c r="C77" i="6"/>
  <c r="C75" i="6"/>
  <c r="C73" i="6"/>
  <c r="C72" i="6"/>
  <c r="C71" i="6"/>
  <c r="C70" i="6"/>
  <c r="C68" i="6"/>
  <c r="C67" i="6"/>
  <c r="C66" i="6"/>
  <c r="C65" i="6"/>
  <c r="C63" i="6"/>
  <c r="C62" i="6"/>
  <c r="C61" i="6"/>
  <c r="C58" i="6"/>
  <c r="C57" i="6"/>
  <c r="C56" i="6"/>
  <c r="C55" i="6"/>
  <c r="C53" i="6"/>
  <c r="C52" i="6" s="1"/>
  <c r="C51" i="6"/>
  <c r="C50" i="6"/>
  <c r="C49" i="6"/>
  <c r="C48" i="6"/>
  <c r="C47" i="6"/>
  <c r="C43" i="6"/>
  <c r="C42" i="6"/>
  <c r="C41" i="6"/>
  <c r="C40" i="6"/>
  <c r="C39" i="6"/>
  <c r="C38" i="6"/>
  <c r="C36" i="6"/>
  <c r="C35" i="6"/>
  <c r="C32" i="6"/>
  <c r="C31" i="6"/>
  <c r="C30" i="6"/>
  <c r="C29" i="6"/>
  <c r="C28" i="6"/>
  <c r="C27" i="6"/>
  <c r="C26" i="6"/>
  <c r="C25" i="6"/>
  <c r="C24" i="6"/>
  <c r="E133" i="6" l="1"/>
  <c r="C135" i="6"/>
  <c r="C171" i="6"/>
  <c r="C151" i="6"/>
  <c r="C154" i="6"/>
  <c r="C139" i="6"/>
  <c r="C164" i="6"/>
  <c r="C180" i="6"/>
  <c r="C179" i="6" s="1"/>
  <c r="E44" i="6"/>
  <c r="E20" i="6" s="1"/>
  <c r="C76" i="6"/>
  <c r="C81" i="6"/>
  <c r="C90" i="6"/>
  <c r="C95" i="6"/>
  <c r="C100" i="6"/>
  <c r="C117" i="6"/>
  <c r="C37" i="6"/>
  <c r="C54" i="6"/>
  <c r="C104" i="6"/>
  <c r="C109" i="6"/>
  <c r="C122" i="6"/>
  <c r="E132" i="6" l="1"/>
  <c r="E19" i="6" s="1"/>
  <c r="E191" i="6" s="1"/>
  <c r="D171" i="6"/>
  <c r="B171" i="6"/>
  <c r="Q171" i="6" s="1"/>
  <c r="D187" i="6"/>
  <c r="D185" i="6"/>
  <c r="D180" i="6"/>
  <c r="D167" i="6"/>
  <c r="D164" i="6"/>
  <c r="D154" i="6"/>
  <c r="D151" i="6"/>
  <c r="D139" i="6"/>
  <c r="D135" i="6"/>
  <c r="B169" i="6"/>
  <c r="Q169" i="6" s="1"/>
  <c r="C169" i="6"/>
  <c r="C134" i="6" s="1"/>
  <c r="C133" i="6" s="1"/>
  <c r="B167" i="6"/>
  <c r="Q167" i="6" s="1"/>
  <c r="D179" i="6" l="1"/>
  <c r="D134" i="6"/>
  <c r="D54" i="6"/>
  <c r="D52" i="6"/>
  <c r="D68" i="6"/>
  <c r="P68" i="6" l="1"/>
  <c r="Q68" i="6" s="1"/>
  <c r="D133" i="6"/>
  <c r="D45" i="6"/>
  <c r="D132" i="6" l="1"/>
  <c r="B185" i="6"/>
  <c r="Q185" i="6" s="1"/>
  <c r="B151" i="6"/>
  <c r="Q151" i="6" s="1"/>
  <c r="C131" i="6"/>
  <c r="C130" i="6" s="1"/>
  <c r="C114" i="6"/>
  <c r="C23" i="6"/>
  <c r="C22" i="6" s="1"/>
  <c r="C18" i="6"/>
  <c r="C17" i="6" s="1"/>
  <c r="C16" i="6"/>
  <c r="C15" i="6" s="1"/>
  <c r="C9" i="6"/>
  <c r="C10" i="6"/>
  <c r="C11" i="6"/>
  <c r="C12" i="6"/>
  <c r="C13" i="6"/>
  <c r="C14" i="6"/>
  <c r="C7" i="6"/>
  <c r="C187" i="6"/>
  <c r="C132" i="6" s="1"/>
  <c r="D126" i="6"/>
  <c r="D122" i="6"/>
  <c r="D117" i="6"/>
  <c r="D113" i="6"/>
  <c r="D109" i="6"/>
  <c r="D104" i="6"/>
  <c r="D100" i="6"/>
  <c r="D95" i="6"/>
  <c r="D90" i="6"/>
  <c r="D81" i="6"/>
  <c r="D76" i="6"/>
  <c r="D64" i="6"/>
  <c r="P64" i="6" s="1"/>
  <c r="D37" i="6"/>
  <c r="D33" i="6"/>
  <c r="D22" i="6"/>
  <c r="D15" i="6"/>
  <c r="D6" i="6"/>
  <c r="P59" i="6" l="1"/>
  <c r="D60" i="6"/>
  <c r="D121" i="6"/>
  <c r="D21" i="6"/>
  <c r="D5" i="6"/>
  <c r="B187" i="6"/>
  <c r="B164" i="6"/>
  <c r="Q164" i="6" s="1"/>
  <c r="B154" i="6"/>
  <c r="Q154" i="6" s="1"/>
  <c r="B139" i="6"/>
  <c r="Q139" i="6" s="1"/>
  <c r="B135" i="6"/>
  <c r="Q135" i="6" s="1"/>
  <c r="B130" i="6"/>
  <c r="B128" i="6"/>
  <c r="Q128" i="6" s="1"/>
  <c r="B122" i="6"/>
  <c r="Q122" i="6" s="1"/>
  <c r="B117" i="6"/>
  <c r="Q117" i="6" s="1"/>
  <c r="B116" i="6"/>
  <c r="Q116" i="6" s="1"/>
  <c r="B109" i="6"/>
  <c r="Q109" i="6" s="1"/>
  <c r="B104" i="6"/>
  <c r="Q104" i="6" s="1"/>
  <c r="B100" i="6"/>
  <c r="Q100" i="6" s="1"/>
  <c r="B95" i="6"/>
  <c r="Q95" i="6" s="1"/>
  <c r="B90" i="6"/>
  <c r="Q90" i="6" s="1"/>
  <c r="B81" i="6"/>
  <c r="Q81" i="6" s="1"/>
  <c r="B76" i="6"/>
  <c r="Q76" i="6" s="1"/>
  <c r="B69" i="6"/>
  <c r="Q69" i="6" s="1"/>
  <c r="B64" i="6"/>
  <c r="C64" i="6" s="1"/>
  <c r="B54" i="6"/>
  <c r="Q54" i="6" s="1"/>
  <c r="B52" i="6"/>
  <c r="Q52" i="6" s="1"/>
  <c r="B46" i="6"/>
  <c r="Q46" i="6" s="1"/>
  <c r="B37" i="6"/>
  <c r="Q37" i="6" s="1"/>
  <c r="B34" i="6"/>
  <c r="Q34" i="6" s="1"/>
  <c r="B22" i="6"/>
  <c r="Q22" i="6" s="1"/>
  <c r="B17" i="6"/>
  <c r="Q17" i="6" s="1"/>
  <c r="B15" i="6"/>
  <c r="Q15" i="6" s="1"/>
  <c r="B8" i="6"/>
  <c r="Q8" i="6" s="1"/>
  <c r="Q64" i="6" l="1"/>
  <c r="B134" i="6"/>
  <c r="Q134" i="6" s="1"/>
  <c r="D59" i="6"/>
  <c r="C116" i="6"/>
  <c r="C113" i="6" s="1"/>
  <c r="C34" i="6"/>
  <c r="C33" i="6" s="1"/>
  <c r="C21" i="6" s="1"/>
  <c r="C128" i="6"/>
  <c r="C126" i="6" s="1"/>
  <c r="C121" i="6" s="1"/>
  <c r="C46" i="6"/>
  <c r="C45" i="6" s="1"/>
  <c r="C69" i="6"/>
  <c r="C60" i="6" s="1"/>
  <c r="B179" i="6"/>
  <c r="Q179" i="6" s="1"/>
  <c r="B113" i="6"/>
  <c r="Q113" i="6" s="1"/>
  <c r="B6" i="6"/>
  <c r="Q6" i="6" s="1"/>
  <c r="C8" i="6"/>
  <c r="C6" i="6" s="1"/>
  <c r="C5" i="6" s="1"/>
  <c r="B33" i="6"/>
  <c r="Q33" i="6" s="1"/>
  <c r="B126" i="6"/>
  <c r="Q126" i="6" s="1"/>
  <c r="B60" i="6"/>
  <c r="Q60" i="6" s="1"/>
  <c r="B45" i="6"/>
  <c r="Q45" i="6" s="1"/>
  <c r="P44" i="6" l="1"/>
  <c r="B5" i="6"/>
  <c r="Q5" i="6" s="1"/>
  <c r="D44" i="6"/>
  <c r="C59" i="6"/>
  <c r="C44" i="6" s="1"/>
  <c r="B133" i="6"/>
  <c r="Q133" i="6" s="1"/>
  <c r="B121" i="6"/>
  <c r="Q121" i="6" s="1"/>
  <c r="B21" i="6"/>
  <c r="Q21" i="6" s="1"/>
  <c r="B59" i="6"/>
  <c r="Q59" i="6" s="1"/>
  <c r="D139" i="2"/>
  <c r="E139" i="2"/>
  <c r="F139" i="2"/>
  <c r="G139" i="2"/>
  <c r="H139" i="2"/>
  <c r="I139" i="2"/>
  <c r="J139" i="2"/>
  <c r="K139" i="2"/>
  <c r="L139" i="2"/>
  <c r="P19" i="6" l="1"/>
  <c r="C20" i="6"/>
  <c r="C19" i="6" s="1"/>
  <c r="C191" i="6" s="1"/>
  <c r="D20" i="6"/>
  <c r="B132" i="6"/>
  <c r="Q132" i="6" s="1"/>
  <c r="B44" i="6"/>
  <c r="Q44" i="6" s="1"/>
  <c r="M208" i="2"/>
  <c r="M139" i="2" s="1"/>
  <c r="M45" i="2"/>
  <c r="M51" i="2"/>
  <c r="M53" i="2"/>
  <c r="D19" i="6" l="1"/>
  <c r="B20" i="6"/>
  <c r="Q20" i="6" s="1"/>
  <c r="O217" i="2"/>
  <c r="O204" i="2"/>
  <c r="O199" i="2"/>
  <c r="O180" i="2"/>
  <c r="O177" i="2"/>
  <c r="O153" i="2"/>
  <c r="O152" i="2"/>
  <c r="O151" i="2"/>
  <c r="O150" i="2"/>
  <c r="O149" i="2"/>
  <c r="P191" i="6" l="1"/>
  <c r="D191" i="6"/>
  <c r="B19" i="6"/>
  <c r="Q19" i="6" s="1"/>
  <c r="Q31" i="2"/>
  <c r="Q148" i="2"/>
  <c r="Q149" i="2"/>
  <c r="Q150" i="2"/>
  <c r="Q151" i="2"/>
  <c r="Q152" i="2"/>
  <c r="Q153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8" i="2"/>
  <c r="Q179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200" i="2"/>
  <c r="Q201" i="2"/>
  <c r="Q202" i="2"/>
  <c r="Q203" i="2"/>
  <c r="Q205" i="2"/>
  <c r="Q207" i="2"/>
  <c r="Q209" i="2"/>
  <c r="Q210" i="2"/>
  <c r="Q211" i="2"/>
  <c r="Q212" i="2"/>
  <c r="Q213" i="2"/>
  <c r="Q214" i="2"/>
  <c r="Q215" i="2"/>
  <c r="Q216" i="2"/>
  <c r="Q218" i="2"/>
  <c r="Q221" i="2"/>
  <c r="Q222" i="2"/>
  <c r="Q223" i="2"/>
  <c r="Q224" i="2"/>
  <c r="B191" i="6" l="1"/>
  <c r="Q191" i="6" s="1"/>
  <c r="B150" i="2"/>
  <c r="P66" i="2"/>
  <c r="P33" i="2"/>
  <c r="P7" i="2"/>
  <c r="P134" i="2"/>
  <c r="P122" i="2"/>
  <c r="N208" i="2"/>
  <c r="Q208" i="2" s="1"/>
  <c r="N204" i="2"/>
  <c r="B208" i="2" l="1"/>
  <c r="P227" i="2"/>
  <c r="P225" i="2"/>
  <c r="P220" i="2"/>
  <c r="N220" i="2"/>
  <c r="P140" i="2"/>
  <c r="D146" i="2"/>
  <c r="D140" i="2" s="1"/>
  <c r="E146" i="2"/>
  <c r="E140" i="2" s="1"/>
  <c r="F146" i="2"/>
  <c r="F140" i="2" s="1"/>
  <c r="G146" i="2"/>
  <c r="G140" i="2" s="1"/>
  <c r="H146" i="2"/>
  <c r="H140" i="2" s="1"/>
  <c r="I146" i="2"/>
  <c r="I140" i="2" s="1"/>
  <c r="J146" i="2"/>
  <c r="J140" i="2" s="1"/>
  <c r="K146" i="2"/>
  <c r="K140" i="2" s="1"/>
  <c r="L146" i="2"/>
  <c r="L140" i="2" s="1"/>
  <c r="M146" i="2"/>
  <c r="M140" i="2" s="1"/>
  <c r="P206" i="2"/>
  <c r="P199" i="2"/>
  <c r="P204" i="2"/>
  <c r="Q204" i="2" s="1"/>
  <c r="P180" i="2"/>
  <c r="P177" i="2"/>
  <c r="P154" i="2"/>
  <c r="P147" i="2"/>
  <c r="P219" i="2" l="1"/>
  <c r="Q220" i="2"/>
  <c r="P146" i="2"/>
  <c r="R148" i="2" s="1"/>
  <c r="R198" i="2" l="1"/>
  <c r="R215" i="2"/>
  <c r="R183" i="2"/>
  <c r="R158" i="2"/>
  <c r="R209" i="2"/>
  <c r="R167" i="2"/>
  <c r="R177" i="2"/>
  <c r="R186" i="2"/>
  <c r="R161" i="2"/>
  <c r="R147" i="2"/>
  <c r="R214" i="2"/>
  <c r="R193" i="2"/>
  <c r="R187" i="2"/>
  <c r="R166" i="2"/>
  <c r="R208" i="2"/>
  <c r="R192" i="2"/>
  <c r="R176" i="2"/>
  <c r="R160" i="2"/>
  <c r="R207" i="2"/>
  <c r="R210" i="2"/>
  <c r="R150" i="2"/>
  <c r="R205" i="2"/>
  <c r="R173" i="2"/>
  <c r="R157" i="2"/>
  <c r="R163" i="2"/>
  <c r="R154" i="2"/>
  <c r="R188" i="2"/>
  <c r="R156" i="2"/>
  <c r="P139" i="2"/>
  <c r="P138" i="2" s="1"/>
  <c r="R199" i="2"/>
  <c r="R175" i="2"/>
  <c r="R155" i="2"/>
  <c r="R202" i="2"/>
  <c r="R170" i="2"/>
  <c r="R217" i="2"/>
  <c r="R201" i="2"/>
  <c r="R185" i="2"/>
  <c r="R169" i="2"/>
  <c r="R153" i="2"/>
  <c r="R203" i="2"/>
  <c r="R218" i="2"/>
  <c r="R182" i="2"/>
  <c r="R216" i="2"/>
  <c r="R200" i="2"/>
  <c r="R184" i="2"/>
  <c r="R168" i="2"/>
  <c r="R152" i="2"/>
  <c r="R179" i="2"/>
  <c r="R159" i="2"/>
  <c r="R178" i="2"/>
  <c r="R189" i="2"/>
  <c r="R211" i="2"/>
  <c r="R190" i="2"/>
  <c r="R204" i="2"/>
  <c r="R172" i="2"/>
  <c r="R191" i="2"/>
  <c r="R171" i="2"/>
  <c r="R151" i="2"/>
  <c r="R194" i="2"/>
  <c r="R162" i="2"/>
  <c r="R213" i="2"/>
  <c r="R197" i="2"/>
  <c r="R181" i="2"/>
  <c r="R165" i="2"/>
  <c r="R149" i="2"/>
  <c r="R195" i="2"/>
  <c r="R206" i="2"/>
  <c r="R174" i="2"/>
  <c r="R212" i="2"/>
  <c r="R196" i="2"/>
  <c r="R180" i="2"/>
  <c r="R164" i="2"/>
  <c r="R139" i="2" l="1"/>
  <c r="P136" i="2" l="1"/>
  <c r="P32" i="2"/>
  <c r="P21" i="2"/>
  <c r="P16" i="2"/>
  <c r="R17" i="2" s="1"/>
  <c r="P14" i="2"/>
  <c r="P5" i="2"/>
  <c r="P4" i="2" l="1"/>
  <c r="R16" i="2" s="1"/>
  <c r="R10" i="2"/>
  <c r="R6" i="2"/>
  <c r="R11" i="2"/>
  <c r="R8" i="2"/>
  <c r="R12" i="2"/>
  <c r="R9" i="2"/>
  <c r="R13" i="2"/>
  <c r="R7" i="2"/>
  <c r="R15" i="2"/>
  <c r="R14" i="2"/>
  <c r="R5" i="2" l="1"/>
  <c r="P76" i="2"/>
  <c r="P59" i="2" l="1"/>
  <c r="P36" i="2"/>
  <c r="P20" i="2" s="1"/>
  <c r="P132" i="2"/>
  <c r="P128" i="2"/>
  <c r="P123" i="2"/>
  <c r="P119" i="2"/>
  <c r="P115" i="2"/>
  <c r="P110" i="2"/>
  <c r="P106" i="2"/>
  <c r="P101" i="2"/>
  <c r="P96" i="2"/>
  <c r="P87" i="2"/>
  <c r="P82" i="2"/>
  <c r="P53" i="2"/>
  <c r="P51" i="2"/>
  <c r="P45" i="2"/>
  <c r="P58" i="2" l="1"/>
  <c r="P44" i="2"/>
  <c r="P127" i="2"/>
  <c r="O155" i="2"/>
  <c r="O156" i="2"/>
  <c r="O157" i="2"/>
  <c r="O158" i="2"/>
  <c r="O159" i="2"/>
  <c r="O160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8" i="2"/>
  <c r="O179" i="2"/>
  <c r="O181" i="2"/>
  <c r="O182" i="2"/>
  <c r="O183" i="2"/>
  <c r="O185" i="2"/>
  <c r="O186" i="2"/>
  <c r="O188" i="2"/>
  <c r="O189" i="2"/>
  <c r="O190" i="2"/>
  <c r="O191" i="2"/>
  <c r="O192" i="2"/>
  <c r="O193" i="2"/>
  <c r="O194" i="2"/>
  <c r="O195" i="2"/>
  <c r="O196" i="2"/>
  <c r="O197" i="2"/>
  <c r="O198" i="2"/>
  <c r="O200" i="2"/>
  <c r="O201" i="2"/>
  <c r="O202" i="2"/>
  <c r="O203" i="2"/>
  <c r="O205" i="2"/>
  <c r="O218" i="2"/>
  <c r="O226" i="2"/>
  <c r="O225" i="2" s="1"/>
  <c r="O229" i="2"/>
  <c r="P43" i="2" l="1"/>
  <c r="P19" i="2" s="1"/>
  <c r="P18" i="2" s="1"/>
  <c r="N154" i="2"/>
  <c r="Q154" i="2" s="1"/>
  <c r="N147" i="2"/>
  <c r="Q147" i="2" l="1"/>
  <c r="R43" i="2"/>
  <c r="M135" i="2"/>
  <c r="R20" i="2" l="1"/>
  <c r="M74" i="2"/>
  <c r="M59" i="2" s="1"/>
  <c r="N23" i="2"/>
  <c r="N137" i="2"/>
  <c r="O144" i="2" s="1"/>
  <c r="N135" i="2"/>
  <c r="N134" i="2"/>
  <c r="O141" i="2" s="1"/>
  <c r="N133" i="2"/>
  <c r="Q133" i="2" s="1"/>
  <c r="N131" i="2"/>
  <c r="Q131" i="2" s="1"/>
  <c r="N130" i="2"/>
  <c r="O137" i="2" s="1"/>
  <c r="N129" i="2"/>
  <c r="O136" i="2" s="1"/>
  <c r="N126" i="2"/>
  <c r="O133" i="2" s="1"/>
  <c r="N125" i="2"/>
  <c r="O132" i="2" s="1"/>
  <c r="N124" i="2"/>
  <c r="O131" i="2" s="1"/>
  <c r="N122" i="2"/>
  <c r="O129" i="2" s="1"/>
  <c r="N121" i="2"/>
  <c r="O128" i="2" s="1"/>
  <c r="N120" i="2"/>
  <c r="N117" i="2"/>
  <c r="O125" i="2" s="1"/>
  <c r="N116" i="2"/>
  <c r="O124" i="2" s="1"/>
  <c r="N114" i="2"/>
  <c r="O122" i="2" s="1"/>
  <c r="N113" i="2"/>
  <c r="O121" i="2" s="1"/>
  <c r="N111" i="2"/>
  <c r="O119" i="2" s="1"/>
  <c r="N109" i="2"/>
  <c r="O116" i="2" s="1"/>
  <c r="N108" i="2"/>
  <c r="O115" i="2" s="1"/>
  <c r="N107" i="2"/>
  <c r="O114" i="2" s="1"/>
  <c r="N105" i="2"/>
  <c r="O112" i="2" s="1"/>
  <c r="N104" i="2"/>
  <c r="O111" i="2" s="1"/>
  <c r="N103" i="2"/>
  <c r="O110" i="2" s="1"/>
  <c r="N102" i="2"/>
  <c r="O109" i="2" s="1"/>
  <c r="N100" i="2"/>
  <c r="O107" i="2" s="1"/>
  <c r="N99" i="2"/>
  <c r="O106" i="2" s="1"/>
  <c r="N98" i="2"/>
  <c r="N95" i="2"/>
  <c r="O102" i="2" s="1"/>
  <c r="N94" i="2"/>
  <c r="O101" i="2" s="1"/>
  <c r="N93" i="2"/>
  <c r="O100" i="2" s="1"/>
  <c r="N92" i="2"/>
  <c r="O99" i="2" s="1"/>
  <c r="N91" i="2"/>
  <c r="O98" i="2" s="1"/>
  <c r="N90" i="2"/>
  <c r="O97" i="2" s="1"/>
  <c r="N89" i="2"/>
  <c r="O96" i="2" s="1"/>
  <c r="N88" i="2"/>
  <c r="O95" i="2" s="1"/>
  <c r="N84" i="2"/>
  <c r="O93" i="2" s="1"/>
  <c r="N83" i="2"/>
  <c r="O92" i="2" s="1"/>
  <c r="N73" i="2"/>
  <c r="O73" i="2" s="1"/>
  <c r="N72" i="2"/>
  <c r="O72" i="2" s="1"/>
  <c r="N71" i="2"/>
  <c r="O71" i="2" s="1"/>
  <c r="N70" i="2"/>
  <c r="O70" i="2" s="1"/>
  <c r="N69" i="2"/>
  <c r="O69" i="2" s="1"/>
  <c r="N68" i="2"/>
  <c r="O68" i="2" s="1"/>
  <c r="N67" i="2"/>
  <c r="O67" i="2" s="1"/>
  <c r="N66" i="2"/>
  <c r="O66" i="2" s="1"/>
  <c r="N65" i="2"/>
  <c r="N64" i="2"/>
  <c r="N63" i="2"/>
  <c r="O63" i="2" s="1"/>
  <c r="N62" i="2"/>
  <c r="O62" i="2" s="1"/>
  <c r="N61" i="2"/>
  <c r="O61" i="2" s="1"/>
  <c r="N60" i="2"/>
  <c r="O60" i="2" s="1"/>
  <c r="N57" i="2"/>
  <c r="N56" i="2"/>
  <c r="O56" i="2" s="1"/>
  <c r="N55" i="2"/>
  <c r="O55" i="2" s="1"/>
  <c r="N52" i="2"/>
  <c r="O52" i="2" s="1"/>
  <c r="N42" i="2"/>
  <c r="N41" i="2"/>
  <c r="N40" i="2"/>
  <c r="N39" i="2"/>
  <c r="N38" i="2"/>
  <c r="N37" i="2"/>
  <c r="N35" i="2"/>
  <c r="N34" i="2"/>
  <c r="N33" i="2"/>
  <c r="N30" i="2"/>
  <c r="N29" i="2"/>
  <c r="N28" i="2"/>
  <c r="N27" i="2"/>
  <c r="N26" i="2"/>
  <c r="N25" i="2"/>
  <c r="N24" i="2"/>
  <c r="D115" i="2"/>
  <c r="E115" i="2"/>
  <c r="F115" i="2"/>
  <c r="G115" i="2"/>
  <c r="H115" i="2"/>
  <c r="I115" i="2"/>
  <c r="J115" i="2"/>
  <c r="K115" i="2"/>
  <c r="L115" i="2"/>
  <c r="M115" i="2"/>
  <c r="N22" i="2"/>
  <c r="N17" i="2"/>
  <c r="N15" i="2"/>
  <c r="N13" i="2"/>
  <c r="N12" i="2"/>
  <c r="N11" i="2"/>
  <c r="N10" i="2"/>
  <c r="N9" i="2"/>
  <c r="O9" i="2" s="1"/>
  <c r="N8" i="2"/>
  <c r="N7" i="2"/>
  <c r="N6" i="2"/>
  <c r="N230" i="2"/>
  <c r="N229" i="2"/>
  <c r="N228" i="2"/>
  <c r="N226" i="2"/>
  <c r="O220" i="2"/>
  <c r="O219" i="2" s="1"/>
  <c r="N217" i="2"/>
  <c r="N177" i="2"/>
  <c r="Q177" i="2" s="1"/>
  <c r="N180" i="2"/>
  <c r="N199" i="2"/>
  <c r="M227" i="2"/>
  <c r="M225" i="2"/>
  <c r="M219" i="2"/>
  <c r="M132" i="2"/>
  <c r="M128" i="2"/>
  <c r="M123" i="2"/>
  <c r="M119" i="2"/>
  <c r="M110" i="2"/>
  <c r="M106" i="2"/>
  <c r="M101" i="2"/>
  <c r="M96" i="2"/>
  <c r="M87" i="2"/>
  <c r="M82" i="2"/>
  <c r="M36" i="2"/>
  <c r="M32" i="2"/>
  <c r="M21" i="2"/>
  <c r="M16" i="2"/>
  <c r="M14" i="2"/>
  <c r="M5" i="2"/>
  <c r="O7" i="2" l="1"/>
  <c r="Q7" i="2"/>
  <c r="M138" i="2"/>
  <c r="O187" i="2"/>
  <c r="Q180" i="2"/>
  <c r="Q226" i="2"/>
  <c r="O6" i="2"/>
  <c r="Q6" i="2"/>
  <c r="O10" i="2"/>
  <c r="Q10" i="2"/>
  <c r="O15" i="2"/>
  <c r="Q15" i="2"/>
  <c r="O235" i="2"/>
  <c r="Q228" i="2"/>
  <c r="O11" i="2"/>
  <c r="Q11" i="2"/>
  <c r="O236" i="2"/>
  <c r="Q229" i="2"/>
  <c r="O8" i="2"/>
  <c r="Q8" i="2"/>
  <c r="O12" i="2"/>
  <c r="Q12" i="2"/>
  <c r="O237" i="2"/>
  <c r="Q230" i="2"/>
  <c r="O13" i="2"/>
  <c r="Q13" i="2"/>
  <c r="O17" i="2"/>
  <c r="Q17" i="2"/>
  <c r="O22" i="2"/>
  <c r="Q22" i="2"/>
  <c r="O35" i="2"/>
  <c r="Q35" i="2"/>
  <c r="O40" i="2"/>
  <c r="Q40" i="2"/>
  <c r="O23" i="2"/>
  <c r="Q23" i="2"/>
  <c r="O26" i="2"/>
  <c r="Q26" i="2"/>
  <c r="O30" i="2"/>
  <c r="Q30" i="2"/>
  <c r="O37" i="2"/>
  <c r="Q37" i="2"/>
  <c r="O41" i="2"/>
  <c r="Q41" i="2"/>
  <c r="O25" i="2"/>
  <c r="Q25" i="2"/>
  <c r="O27" i="2"/>
  <c r="Q27" i="2"/>
  <c r="O33" i="2"/>
  <c r="Q33" i="2"/>
  <c r="O38" i="2"/>
  <c r="Q38" i="2"/>
  <c r="O42" i="2"/>
  <c r="Q42" i="2"/>
  <c r="O29" i="2"/>
  <c r="Q29" i="2"/>
  <c r="O24" i="2"/>
  <c r="Q24" i="2"/>
  <c r="O28" i="2"/>
  <c r="Q28" i="2"/>
  <c r="O34" i="2"/>
  <c r="Q34" i="2"/>
  <c r="O39" i="2"/>
  <c r="Q39" i="2"/>
  <c r="Q199" i="2"/>
  <c r="N146" i="2"/>
  <c r="Q146" i="2" s="1"/>
  <c r="N139" i="2"/>
  <c r="O228" i="2"/>
  <c r="Q217" i="2"/>
  <c r="Q56" i="2"/>
  <c r="Q90" i="2"/>
  <c r="Q63" i="2"/>
  <c r="Q67" i="2"/>
  <c r="Q71" i="2"/>
  <c r="Q84" i="2"/>
  <c r="Q91" i="2"/>
  <c r="Q95" i="2"/>
  <c r="Q102" i="2"/>
  <c r="Q107" i="2"/>
  <c r="Q113" i="2"/>
  <c r="Q120" i="2"/>
  <c r="Q94" i="2"/>
  <c r="Q105" i="2"/>
  <c r="Q135" i="2"/>
  <c r="Q52" i="2"/>
  <c r="Q60" i="2"/>
  <c r="Q64" i="2"/>
  <c r="Q68" i="2"/>
  <c r="Q88" i="2"/>
  <c r="Q92" i="2"/>
  <c r="Q98" i="2"/>
  <c r="Q103" i="2"/>
  <c r="Q108" i="2"/>
  <c r="Q114" i="2"/>
  <c r="Q121" i="2"/>
  <c r="Q126" i="2"/>
  <c r="Q66" i="2"/>
  <c r="Q83" i="2"/>
  <c r="Q100" i="2"/>
  <c r="Q111" i="2"/>
  <c r="Q124" i="2"/>
  <c r="Q130" i="2"/>
  <c r="Q55" i="2"/>
  <c r="Q61" i="2"/>
  <c r="Q65" i="2"/>
  <c r="Q69" i="2"/>
  <c r="Q73" i="2"/>
  <c r="Q89" i="2"/>
  <c r="Q93" i="2"/>
  <c r="Q99" i="2"/>
  <c r="Q104" i="2"/>
  <c r="Q109" i="2"/>
  <c r="Q116" i="2"/>
  <c r="Q122" i="2"/>
  <c r="Q129" i="2"/>
  <c r="Q134" i="2"/>
  <c r="P231" i="2"/>
  <c r="R138" i="2"/>
  <c r="R18" i="2"/>
  <c r="R19" i="2"/>
  <c r="O184" i="2"/>
  <c r="N115" i="2"/>
  <c r="M127" i="2"/>
  <c r="M58" i="2"/>
  <c r="M44" i="2"/>
  <c r="M20" i="2"/>
  <c r="M4" i="2"/>
  <c r="Q115" i="2" l="1"/>
  <c r="Q139" i="2"/>
  <c r="R231" i="2"/>
  <c r="M43" i="2"/>
  <c r="M19" i="2" s="1"/>
  <c r="C230" i="2"/>
  <c r="C229" i="2"/>
  <c r="C228" i="2"/>
  <c r="C227" i="2" s="1"/>
  <c r="C217" i="2"/>
  <c r="C199" i="2"/>
  <c r="C180" i="2"/>
  <c r="C177" i="2"/>
  <c r="C137" i="2"/>
  <c r="C136" i="2" s="1"/>
  <c r="C135" i="2"/>
  <c r="C134" i="2"/>
  <c r="C133" i="2"/>
  <c r="C131" i="2"/>
  <c r="C130" i="2"/>
  <c r="C129" i="2"/>
  <c r="C126" i="2"/>
  <c r="C125" i="2"/>
  <c r="C124" i="2"/>
  <c r="C122" i="2"/>
  <c r="C121" i="2"/>
  <c r="C120" i="2"/>
  <c r="C117" i="2"/>
  <c r="C116" i="2"/>
  <c r="C114" i="2"/>
  <c r="C113" i="2"/>
  <c r="C112" i="2"/>
  <c r="C111" i="2"/>
  <c r="C109" i="2"/>
  <c r="C108" i="2"/>
  <c r="C107" i="2"/>
  <c r="C105" i="2"/>
  <c r="C104" i="2"/>
  <c r="C103" i="2"/>
  <c r="C102" i="2"/>
  <c r="C100" i="2"/>
  <c r="C99" i="2"/>
  <c r="C98" i="2"/>
  <c r="C97" i="2"/>
  <c r="C95" i="2"/>
  <c r="C94" i="2"/>
  <c r="C93" i="2"/>
  <c r="C92" i="2"/>
  <c r="C91" i="2"/>
  <c r="C90" i="2"/>
  <c r="C89" i="2"/>
  <c r="C88" i="2"/>
  <c r="C84" i="2"/>
  <c r="C83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6" i="2"/>
  <c r="C55" i="2"/>
  <c r="C54" i="2"/>
  <c r="C52" i="2"/>
  <c r="C51" i="2" s="1"/>
  <c r="C50" i="2"/>
  <c r="C49" i="2"/>
  <c r="C48" i="2"/>
  <c r="C47" i="2"/>
  <c r="C46" i="2"/>
  <c r="C42" i="2"/>
  <c r="C41" i="2"/>
  <c r="C40" i="2"/>
  <c r="C39" i="2"/>
  <c r="C38" i="2"/>
  <c r="C37" i="2"/>
  <c r="C35" i="2"/>
  <c r="C34" i="2"/>
  <c r="C33" i="2"/>
  <c r="C30" i="2"/>
  <c r="C29" i="2"/>
  <c r="C28" i="2"/>
  <c r="C27" i="2"/>
  <c r="C26" i="2"/>
  <c r="C25" i="2"/>
  <c r="C24" i="2"/>
  <c r="C23" i="2"/>
  <c r="C22" i="2"/>
  <c r="C17" i="2"/>
  <c r="C16" i="2" s="1"/>
  <c r="C15" i="2"/>
  <c r="C14" i="2" s="1"/>
  <c r="C7" i="2"/>
  <c r="C8" i="2"/>
  <c r="C9" i="2"/>
  <c r="C10" i="2"/>
  <c r="C11" i="2"/>
  <c r="C12" i="2"/>
  <c r="C13" i="2"/>
  <c r="C6" i="2"/>
  <c r="M18" i="2" l="1"/>
  <c r="M231" i="2" s="1"/>
  <c r="C59" i="2"/>
  <c r="C115" i="2"/>
  <c r="C132" i="2"/>
  <c r="C45" i="2"/>
  <c r="C82" i="2"/>
  <c r="C36" i="2"/>
  <c r="C101" i="2"/>
  <c r="C5" i="2"/>
  <c r="C4" i="2" s="1"/>
  <c r="C21" i="2"/>
  <c r="C32" i="2"/>
  <c r="C53" i="2"/>
  <c r="C87" i="2"/>
  <c r="C96" i="2"/>
  <c r="C106" i="2"/>
  <c r="C110" i="2"/>
  <c r="C119" i="2"/>
  <c r="C123" i="2"/>
  <c r="C128" i="2"/>
  <c r="N50" i="2"/>
  <c r="O50" i="2" s="1"/>
  <c r="N49" i="2"/>
  <c r="O49" i="2" s="1"/>
  <c r="N48" i="2"/>
  <c r="O48" i="2" s="1"/>
  <c r="N47" i="2"/>
  <c r="O47" i="2" s="1"/>
  <c r="N46" i="2"/>
  <c r="O46" i="2" s="1"/>
  <c r="C44" i="2" l="1"/>
  <c r="C127" i="2"/>
  <c r="C58" i="2"/>
  <c r="C20" i="2"/>
  <c r="N132" i="2"/>
  <c r="Q132" i="2" s="1"/>
  <c r="L227" i="2"/>
  <c r="L225" i="2"/>
  <c r="L219" i="2"/>
  <c r="L132" i="2"/>
  <c r="L128" i="2"/>
  <c r="L123" i="2"/>
  <c r="L119" i="2"/>
  <c r="L110" i="2"/>
  <c r="L106" i="2"/>
  <c r="L101" i="2"/>
  <c r="L96" i="2"/>
  <c r="L87" i="2"/>
  <c r="L82" i="2"/>
  <c r="L59" i="2"/>
  <c r="L53" i="2"/>
  <c r="L51" i="2"/>
  <c r="L45" i="2"/>
  <c r="L36" i="2"/>
  <c r="L32" i="2"/>
  <c r="L21" i="2"/>
  <c r="L16" i="2"/>
  <c r="L14" i="2"/>
  <c r="L5" i="2"/>
  <c r="L138" i="2" l="1"/>
  <c r="C43" i="2"/>
  <c r="C19" i="2" s="1"/>
  <c r="L44" i="2"/>
  <c r="L20" i="2"/>
  <c r="L127" i="2"/>
  <c r="L58" i="2"/>
  <c r="L4" i="2"/>
  <c r="L43" i="2" l="1"/>
  <c r="L19" i="2" s="1"/>
  <c r="L18" i="2" s="1"/>
  <c r="L231" i="2" s="1"/>
  <c r="K227" i="2"/>
  <c r="N227" i="2" l="1"/>
  <c r="K74" i="2"/>
  <c r="K59" i="2" s="1"/>
  <c r="K225" i="2"/>
  <c r="K219" i="2"/>
  <c r="K132" i="2"/>
  <c r="K128" i="2"/>
  <c r="K123" i="2"/>
  <c r="K119" i="2"/>
  <c r="K110" i="2"/>
  <c r="K106" i="2"/>
  <c r="K101" i="2"/>
  <c r="K96" i="2"/>
  <c r="K87" i="2"/>
  <c r="K82" i="2"/>
  <c r="K53" i="2"/>
  <c r="K51" i="2"/>
  <c r="K45" i="2"/>
  <c r="K36" i="2"/>
  <c r="K32" i="2"/>
  <c r="K21" i="2"/>
  <c r="K16" i="2"/>
  <c r="K14" i="2"/>
  <c r="K5" i="2"/>
  <c r="K138" i="2" l="1"/>
  <c r="Q227" i="2"/>
  <c r="K44" i="2"/>
  <c r="K127" i="2"/>
  <c r="K58" i="2"/>
  <c r="K20" i="2"/>
  <c r="K4" i="2"/>
  <c r="K43" i="2" l="1"/>
  <c r="K19" i="2" s="1"/>
  <c r="K18" i="2" s="1"/>
  <c r="K231" i="2" s="1"/>
  <c r="J112" i="2"/>
  <c r="N112" i="2" s="1"/>
  <c r="O120" i="2" s="1"/>
  <c r="J74" i="2"/>
  <c r="N74" i="2" s="1"/>
  <c r="O74" i="2" s="1"/>
  <c r="Q112" i="2" l="1"/>
  <c r="Q74" i="2"/>
  <c r="J227" i="2" l="1"/>
  <c r="J225" i="2"/>
  <c r="J219" i="2"/>
  <c r="J132" i="2"/>
  <c r="J128" i="2"/>
  <c r="J123" i="2"/>
  <c r="J119" i="2"/>
  <c r="J110" i="2"/>
  <c r="J106" i="2"/>
  <c r="J101" i="2"/>
  <c r="J96" i="2"/>
  <c r="J87" i="2"/>
  <c r="J82" i="2"/>
  <c r="J59" i="2"/>
  <c r="J53" i="2"/>
  <c r="J51" i="2"/>
  <c r="J45" i="2"/>
  <c r="J36" i="2"/>
  <c r="J32" i="2"/>
  <c r="J21" i="2"/>
  <c r="J16" i="2"/>
  <c r="J14" i="2"/>
  <c r="J5" i="2"/>
  <c r="J138" i="2" l="1"/>
  <c r="J44" i="2"/>
  <c r="J20" i="2"/>
  <c r="J127" i="2"/>
  <c r="J58" i="2"/>
  <c r="J4" i="2"/>
  <c r="J43" i="2" l="1"/>
  <c r="J19" i="2" s="1"/>
  <c r="J18" i="2" s="1"/>
  <c r="J231" i="2" s="1"/>
  <c r="N5" i="2" l="1"/>
  <c r="Q5" i="2" s="1"/>
  <c r="I132" i="2"/>
  <c r="I227" i="2"/>
  <c r="I225" i="2"/>
  <c r="I219" i="2"/>
  <c r="I128" i="2"/>
  <c r="I123" i="2"/>
  <c r="I119" i="2"/>
  <c r="I110" i="2"/>
  <c r="I106" i="2"/>
  <c r="I101" i="2"/>
  <c r="I96" i="2"/>
  <c r="I87" i="2"/>
  <c r="I82" i="2"/>
  <c r="I59" i="2"/>
  <c r="I53" i="2"/>
  <c r="I51" i="2"/>
  <c r="I45" i="2"/>
  <c r="I36" i="2"/>
  <c r="I32" i="2"/>
  <c r="I21" i="2"/>
  <c r="I16" i="2"/>
  <c r="I14" i="2"/>
  <c r="I5" i="2"/>
  <c r="I138" i="2" l="1"/>
  <c r="I20" i="2"/>
  <c r="I127" i="2"/>
  <c r="I58" i="2"/>
  <c r="I44" i="2"/>
  <c r="I4" i="2"/>
  <c r="I43" i="2" l="1"/>
  <c r="I19" i="2" s="1"/>
  <c r="I18" i="2" s="1"/>
  <c r="I231" i="2" s="1"/>
  <c r="H227" i="2" l="1"/>
  <c r="G227" i="2"/>
  <c r="H225" i="2" l="1"/>
  <c r="H219" i="2"/>
  <c r="H132" i="2"/>
  <c r="H128" i="2"/>
  <c r="H123" i="2"/>
  <c r="H119" i="2"/>
  <c r="H110" i="2"/>
  <c r="H106" i="2"/>
  <c r="H101" i="2"/>
  <c r="H96" i="2"/>
  <c r="H87" i="2"/>
  <c r="H82" i="2"/>
  <c r="H59" i="2"/>
  <c r="H53" i="2"/>
  <c r="H51" i="2"/>
  <c r="H45" i="2"/>
  <c r="H36" i="2"/>
  <c r="H32" i="2"/>
  <c r="H21" i="2"/>
  <c r="H16" i="2"/>
  <c r="H14" i="2"/>
  <c r="H5" i="2"/>
  <c r="H138" i="2" l="1"/>
  <c r="H44" i="2"/>
  <c r="H4" i="2"/>
  <c r="H58" i="2"/>
  <c r="H20" i="2"/>
  <c r="H127" i="2"/>
  <c r="H43" i="2" l="1"/>
  <c r="H19" i="2" s="1"/>
  <c r="H18" i="2" s="1"/>
  <c r="H231" i="2" s="1"/>
  <c r="G225" i="2" l="1"/>
  <c r="G219" i="2"/>
  <c r="G132" i="2"/>
  <c r="G128" i="2"/>
  <c r="G123" i="2"/>
  <c r="G119" i="2"/>
  <c r="G110" i="2"/>
  <c r="G106" i="2"/>
  <c r="G101" i="2"/>
  <c r="G96" i="2"/>
  <c r="G87" i="2"/>
  <c r="G82" i="2"/>
  <c r="G59" i="2"/>
  <c r="G53" i="2"/>
  <c r="G51" i="2"/>
  <c r="G45" i="2"/>
  <c r="G36" i="2"/>
  <c r="G32" i="2"/>
  <c r="G21" i="2"/>
  <c r="G16" i="2"/>
  <c r="G14" i="2"/>
  <c r="G5" i="2"/>
  <c r="G138" i="2" l="1"/>
  <c r="G44" i="2"/>
  <c r="G127" i="2"/>
  <c r="G58" i="2"/>
  <c r="G20" i="2"/>
  <c r="G4" i="2"/>
  <c r="G43" i="2" l="1"/>
  <c r="G19" i="2" s="1"/>
  <c r="G18" i="2" s="1"/>
  <c r="G231" i="2" s="1"/>
  <c r="F97" i="2"/>
  <c r="N97" i="2" s="1"/>
  <c r="O104" i="2" s="1"/>
  <c r="Q97" i="2" l="1"/>
  <c r="F96" i="2"/>
  <c r="E96" i="2"/>
  <c r="F101" i="2"/>
  <c r="F32" i="2"/>
  <c r="F36" i="2"/>
  <c r="F227" i="2"/>
  <c r="F225" i="2"/>
  <c r="F219" i="2"/>
  <c r="F132" i="2"/>
  <c r="F128" i="2"/>
  <c r="F123" i="2"/>
  <c r="F119" i="2"/>
  <c r="F110" i="2"/>
  <c r="F106" i="2"/>
  <c r="F87" i="2"/>
  <c r="F82" i="2"/>
  <c r="F59" i="2"/>
  <c r="F53" i="2"/>
  <c r="F51" i="2"/>
  <c r="F45" i="2"/>
  <c r="F21" i="2"/>
  <c r="F16" i="2"/>
  <c r="F14" i="2"/>
  <c r="F5" i="2"/>
  <c r="F138" i="2" l="1"/>
  <c r="F127" i="2"/>
  <c r="F58" i="2"/>
  <c r="F44" i="2"/>
  <c r="F20" i="2"/>
  <c r="F4" i="2"/>
  <c r="F43" i="2" l="1"/>
  <c r="F19" i="2" s="1"/>
  <c r="F18" i="2" s="1"/>
  <c r="F231" i="2" s="1"/>
  <c r="D136" i="2"/>
  <c r="E136" i="2"/>
  <c r="E132" i="2"/>
  <c r="E128" i="2"/>
  <c r="N128" i="2"/>
  <c r="E123" i="2"/>
  <c r="N123" i="2"/>
  <c r="D119" i="2"/>
  <c r="E119" i="2"/>
  <c r="N119" i="2"/>
  <c r="N110" i="2"/>
  <c r="E110" i="2"/>
  <c r="N106" i="2"/>
  <c r="E106" i="2"/>
  <c r="N101" i="2"/>
  <c r="E101" i="2"/>
  <c r="N96" i="2"/>
  <c r="E87" i="2"/>
  <c r="N87" i="2"/>
  <c r="D82" i="2"/>
  <c r="E82" i="2"/>
  <c r="N82" i="2"/>
  <c r="E59" i="2"/>
  <c r="E53" i="2"/>
  <c r="E51" i="2"/>
  <c r="N51" i="2"/>
  <c r="E45" i="2"/>
  <c r="N36" i="2"/>
  <c r="Q36" i="2" s="1"/>
  <c r="N32" i="2"/>
  <c r="Q32" i="2" s="1"/>
  <c r="N225" i="2"/>
  <c r="E227" i="2"/>
  <c r="E225" i="2"/>
  <c r="E219" i="2"/>
  <c r="N219" i="2"/>
  <c r="E36" i="2"/>
  <c r="E32" i="2"/>
  <c r="E21" i="2"/>
  <c r="E16" i="2"/>
  <c r="E14" i="2"/>
  <c r="N16" i="2"/>
  <c r="Q16" i="2" s="1"/>
  <c r="N14" i="2"/>
  <c r="Q14" i="2" s="1"/>
  <c r="E5" i="2"/>
  <c r="Q225" i="2" l="1"/>
  <c r="Q123" i="2"/>
  <c r="Q119" i="2"/>
  <c r="Q110" i="2"/>
  <c r="Q106" i="2"/>
  <c r="Q101" i="2"/>
  <c r="Q96" i="2"/>
  <c r="Q87" i="2"/>
  <c r="Q82" i="2"/>
  <c r="Q128" i="2"/>
  <c r="N138" i="2"/>
  <c r="Q138" i="2" s="1"/>
  <c r="Q219" i="2"/>
  <c r="Q51" i="2"/>
  <c r="N136" i="2"/>
  <c r="E138" i="2"/>
  <c r="N4" i="2"/>
  <c r="Q4" i="2" s="1"/>
  <c r="E127" i="2"/>
  <c r="N59" i="2"/>
  <c r="E58" i="2"/>
  <c r="E44" i="2"/>
  <c r="N21" i="2"/>
  <c r="Q21" i="2" s="1"/>
  <c r="E20" i="2"/>
  <c r="E4" i="2"/>
  <c r="Q59" i="2" l="1"/>
  <c r="N127" i="2"/>
  <c r="N20" i="2"/>
  <c r="N58" i="2"/>
  <c r="E43" i="2"/>
  <c r="E19" i="2" s="1"/>
  <c r="E18" i="2" s="1"/>
  <c r="E231" i="2" s="1"/>
  <c r="Q58" i="2" l="1"/>
  <c r="Q127" i="2"/>
  <c r="Q20" i="2"/>
  <c r="D54" i="2"/>
  <c r="N54" i="2" s="1"/>
  <c r="O54" i="2" s="1"/>
  <c r="Q54" i="2" l="1"/>
  <c r="N53" i="2"/>
  <c r="D110" i="2"/>
  <c r="D106" i="2"/>
  <c r="D51" i="2"/>
  <c r="D123" i="2"/>
  <c r="D45" i="2"/>
  <c r="N45" i="2" s="1"/>
  <c r="D53" i="2"/>
  <c r="D101" i="2"/>
  <c r="D96" i="2"/>
  <c r="D87" i="2"/>
  <c r="D132" i="2"/>
  <c r="D128" i="2"/>
  <c r="D59" i="2"/>
  <c r="D36" i="2"/>
  <c r="D32" i="2"/>
  <c r="D21" i="2"/>
  <c r="D227" i="2"/>
  <c r="B227" i="2"/>
  <c r="O234" i="2" s="1"/>
  <c r="D225" i="2"/>
  <c r="D219" i="2"/>
  <c r="D16" i="2"/>
  <c r="D14" i="2"/>
  <c r="D5" i="2"/>
  <c r="Q53" i="2" l="1"/>
  <c r="D138" i="2"/>
  <c r="N44" i="2"/>
  <c r="D44" i="2"/>
  <c r="D127" i="2"/>
  <c r="D58" i="2"/>
  <c r="D20" i="2"/>
  <c r="D4" i="2"/>
  <c r="B16" i="2"/>
  <c r="O16" i="2" s="1"/>
  <c r="B14" i="2"/>
  <c r="O14" i="2" s="1"/>
  <c r="B5" i="2"/>
  <c r="O5" i="2" s="1"/>
  <c r="B128" i="2"/>
  <c r="O135" i="2" s="1"/>
  <c r="B132" i="2"/>
  <c r="B136" i="2"/>
  <c r="O143" i="2" s="1"/>
  <c r="B123" i="2"/>
  <c r="O130" i="2" s="1"/>
  <c r="B119" i="2"/>
  <c r="O126" i="2" s="1"/>
  <c r="B115" i="2"/>
  <c r="O123" i="2" s="1"/>
  <c r="B110" i="2"/>
  <c r="O117" i="2" s="1"/>
  <c r="B106" i="2"/>
  <c r="O113" i="2" s="1"/>
  <c r="B101" i="2"/>
  <c r="O108" i="2" s="1"/>
  <c r="B96" i="2"/>
  <c r="O103" i="2" s="1"/>
  <c r="B87" i="2"/>
  <c r="O94" i="2" s="1"/>
  <c r="B82" i="2"/>
  <c r="O91" i="2" s="1"/>
  <c r="B59" i="2"/>
  <c r="O59" i="2" s="1"/>
  <c r="B53" i="2"/>
  <c r="O53" i="2" s="1"/>
  <c r="B51" i="2"/>
  <c r="O51" i="2" s="1"/>
  <c r="B45" i="2"/>
  <c r="O45" i="2" s="1"/>
  <c r="B36" i="2"/>
  <c r="O36" i="2" s="1"/>
  <c r="B32" i="2"/>
  <c r="O32" i="2" s="1"/>
  <c r="B21" i="2"/>
  <c r="O21" i="2" s="1"/>
  <c r="H8" i="1"/>
  <c r="I8" i="1" s="1"/>
  <c r="G43" i="1"/>
  <c r="F43" i="1"/>
  <c r="G38" i="1"/>
  <c r="F38" i="1"/>
  <c r="H42" i="1"/>
  <c r="I42" i="1" s="1"/>
  <c r="E42" i="1"/>
  <c r="I41" i="1"/>
  <c r="H45" i="1"/>
  <c r="I45" i="1" s="1"/>
  <c r="H44" i="1"/>
  <c r="I44" i="1" s="1"/>
  <c r="H40" i="1"/>
  <c r="I40" i="1" s="1"/>
  <c r="H39" i="1"/>
  <c r="H37" i="1"/>
  <c r="I37" i="1" s="1"/>
  <c r="H36" i="1"/>
  <c r="I36" i="1" s="1"/>
  <c r="H35" i="1"/>
  <c r="G34" i="1"/>
  <c r="H32" i="1"/>
  <c r="I32" i="1" s="1"/>
  <c r="B226" i="2" s="1"/>
  <c r="O233" i="2" s="1"/>
  <c r="H31" i="1"/>
  <c r="I31" i="1" s="1"/>
  <c r="B220" i="2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B154" i="2" s="1"/>
  <c r="O161" i="2" s="1"/>
  <c r="H23" i="1"/>
  <c r="I23" i="1" s="1"/>
  <c r="H22" i="1"/>
  <c r="I22" i="1" s="1"/>
  <c r="G21" i="1"/>
  <c r="F21" i="1"/>
  <c r="H18" i="1"/>
  <c r="I18" i="1" s="1"/>
  <c r="H17" i="1"/>
  <c r="H15" i="1"/>
  <c r="I15" i="1" s="1"/>
  <c r="G16" i="1"/>
  <c r="H14" i="1"/>
  <c r="I14" i="1" s="1"/>
  <c r="H13" i="1"/>
  <c r="I13" i="1" s="1"/>
  <c r="H12" i="1"/>
  <c r="I12" i="1" s="1"/>
  <c r="H11" i="1"/>
  <c r="I11" i="1" s="1"/>
  <c r="H10" i="1"/>
  <c r="I10" i="1" s="1"/>
  <c r="H9" i="1"/>
  <c r="Q44" i="2" l="1"/>
  <c r="C220" i="2"/>
  <c r="C219" i="2" s="1"/>
  <c r="C226" i="2"/>
  <c r="C225" i="2" s="1"/>
  <c r="C154" i="2"/>
  <c r="N43" i="2"/>
  <c r="D43" i="2"/>
  <c r="B219" i="2"/>
  <c r="O230" i="2" s="1"/>
  <c r="O227" i="2" s="1"/>
  <c r="B225" i="2"/>
  <c r="O232" i="2" s="1"/>
  <c r="H16" i="1"/>
  <c r="B147" i="2"/>
  <c r="O154" i="2" s="1"/>
  <c r="H34" i="1"/>
  <c r="B4" i="2"/>
  <c r="O4" i="2" s="1"/>
  <c r="B127" i="2"/>
  <c r="O134" i="2" s="1"/>
  <c r="B20" i="2"/>
  <c r="O20" i="2" s="1"/>
  <c r="B58" i="2"/>
  <c r="O58" i="2" s="1"/>
  <c r="B44" i="2"/>
  <c r="O44" i="2" s="1"/>
  <c r="G6" i="1"/>
  <c r="G5" i="1" s="1"/>
  <c r="I43" i="1"/>
  <c r="H38" i="1"/>
  <c r="H33" i="1" s="1"/>
  <c r="I35" i="1"/>
  <c r="I34" i="1" s="1"/>
  <c r="H43" i="1"/>
  <c r="I39" i="1"/>
  <c r="I38" i="1" s="1"/>
  <c r="G33" i="1"/>
  <c r="G20" i="1" s="1"/>
  <c r="H7" i="1"/>
  <c r="I7" i="1" s="1"/>
  <c r="I21" i="1"/>
  <c r="H21" i="1"/>
  <c r="I9" i="1"/>
  <c r="I17" i="1"/>
  <c r="I16" i="1" s="1"/>
  <c r="N19" i="2" l="1"/>
  <c r="Q43" i="2"/>
  <c r="B139" i="2"/>
  <c r="O147" i="2" s="1"/>
  <c r="B146" i="2"/>
  <c r="B140" i="2" s="1"/>
  <c r="O148" i="2" s="1"/>
  <c r="C147" i="2"/>
  <c r="D19" i="2"/>
  <c r="B43" i="2"/>
  <c r="B19" i="2" s="1"/>
  <c r="I33" i="1"/>
  <c r="I20" i="1" s="1"/>
  <c r="I6" i="1"/>
  <c r="I5" i="1" s="1"/>
  <c r="H20" i="1"/>
  <c r="H6" i="1"/>
  <c r="H5" i="1" s="1"/>
  <c r="I46" i="1" l="1"/>
  <c r="C146" i="2"/>
  <c r="C140" i="2" s="1"/>
  <c r="C139" i="2"/>
  <c r="C138" i="2" s="1"/>
  <c r="C18" i="2" s="1"/>
  <c r="C231" i="2" s="1"/>
  <c r="O43" i="2"/>
  <c r="O19" i="2"/>
  <c r="N18" i="2"/>
  <c r="Q18" i="2" s="1"/>
  <c r="Q19" i="2"/>
  <c r="O146" i="2"/>
  <c r="B138" i="2"/>
  <c r="O145" i="2" s="1"/>
  <c r="D18" i="2"/>
  <c r="D231" i="2" s="1"/>
  <c r="H46" i="1"/>
  <c r="O140" i="2" l="1"/>
  <c r="O139" i="2"/>
  <c r="N231" i="2"/>
  <c r="B18" i="2"/>
  <c r="E45" i="1"/>
  <c r="E44" i="1"/>
  <c r="D43" i="1"/>
  <c r="C43" i="1"/>
  <c r="B43" i="1"/>
  <c r="E41" i="1"/>
  <c r="E40" i="1"/>
  <c r="E39" i="1"/>
  <c r="D38" i="1"/>
  <c r="C38" i="1"/>
  <c r="B38" i="1"/>
  <c r="E37" i="1"/>
  <c r="E36" i="1"/>
  <c r="E35" i="1"/>
  <c r="F34" i="1"/>
  <c r="F33" i="1" s="1"/>
  <c r="F20" i="1" s="1"/>
  <c r="D34" i="1"/>
  <c r="C34" i="1"/>
  <c r="B34" i="1"/>
  <c r="D32" i="1"/>
  <c r="E32" i="1" s="1"/>
  <c r="D31" i="1"/>
  <c r="E31" i="1" s="1"/>
  <c r="C31" i="1"/>
  <c r="D29" i="1"/>
  <c r="E29" i="1" s="1"/>
  <c r="C29" i="1"/>
  <c r="D28" i="1"/>
  <c r="E28" i="1" s="1"/>
  <c r="C28" i="1"/>
  <c r="D27" i="1"/>
  <c r="E27" i="1" s="1"/>
  <c r="C27" i="1"/>
  <c r="D26" i="1"/>
  <c r="E26" i="1" s="1"/>
  <c r="C26" i="1"/>
  <c r="D25" i="1"/>
  <c r="E25" i="1" s="1"/>
  <c r="C25" i="1"/>
  <c r="D24" i="1"/>
  <c r="E24" i="1" s="1"/>
  <c r="C24" i="1"/>
  <c r="D23" i="1"/>
  <c r="E23" i="1" s="1"/>
  <c r="D22" i="1"/>
  <c r="E22" i="1" s="1"/>
  <c r="C22" i="1"/>
  <c r="B21" i="1"/>
  <c r="D18" i="1"/>
  <c r="D16" i="1" s="1"/>
  <c r="E17" i="1"/>
  <c r="C17" i="1"/>
  <c r="C16" i="1" s="1"/>
  <c r="F16" i="1"/>
  <c r="B16" i="1"/>
  <c r="D15" i="1"/>
  <c r="E15" i="1" s="1"/>
  <c r="C15" i="1"/>
  <c r="D14" i="1"/>
  <c r="E14" i="1" s="1"/>
  <c r="C14" i="1"/>
  <c r="D13" i="1"/>
  <c r="E13" i="1" s="1"/>
  <c r="C13" i="1"/>
  <c r="D9" i="1"/>
  <c r="E9" i="1" s="1"/>
  <c r="C9" i="1"/>
  <c r="D8" i="1"/>
  <c r="E8" i="1" s="1"/>
  <c r="C8" i="1"/>
  <c r="D7" i="1"/>
  <c r="E7" i="1" s="1"/>
  <c r="C7" i="1"/>
  <c r="F6" i="1"/>
  <c r="B6" i="1"/>
  <c r="Q231" i="2" l="1"/>
  <c r="O138" i="2"/>
  <c r="O18" i="2" s="1"/>
  <c r="O231" i="2" s="1"/>
  <c r="B231" i="2"/>
  <c r="O238" i="2" s="1"/>
  <c r="B33" i="1"/>
  <c r="E43" i="1"/>
  <c r="C33" i="1"/>
  <c r="C6" i="1"/>
  <c r="C5" i="1" s="1"/>
  <c r="E34" i="1"/>
  <c r="B5" i="1"/>
  <c r="B46" i="1" s="1"/>
  <c r="F5" i="1"/>
  <c r="F46" i="1" s="1"/>
  <c r="D21" i="1"/>
  <c r="E38" i="1"/>
  <c r="D33" i="1"/>
  <c r="E6" i="1"/>
  <c r="D6" i="1"/>
  <c r="D5" i="1" s="1"/>
  <c r="C21" i="1"/>
  <c r="E21" i="1"/>
  <c r="E18" i="1"/>
  <c r="E16" i="1" s="1"/>
  <c r="E33" i="1" l="1"/>
  <c r="C46" i="1"/>
  <c r="D46" i="1"/>
  <c r="E5" i="1"/>
  <c r="E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daphne morales soto</author>
  </authors>
  <commentList>
    <comment ref="M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 21,868 mlls</t>
        </r>
      </text>
    </comment>
    <comment ref="A1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Incluye asesoria pruebas psicotecnicas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daphne morales soto</author>
    <author>Astrid Elena Alvarez Rodriguez</author>
    <author>usuario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3.650.820.934
PROV 2.260.105.080
</t>
        </r>
      </text>
    </comment>
    <comment ref="E1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6,869,664,289
PROV -1,262,771,483
</t>
        </r>
      </text>
    </comment>
    <comment ref="F1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5,526,011,458
PROV -3,240,690,382
</t>
        </r>
      </text>
    </comment>
    <comment ref="G1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5,650,410,035
PROV -2,012,452,151</t>
        </r>
      </text>
    </comment>
    <comment ref="H1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4.724.095.530
PROV 3.672.041.443</t>
        </r>
      </text>
    </comment>
    <comment ref="I1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4.048.805.728
PROV -3.535.826.245</t>
        </r>
      </text>
    </comment>
    <comment ref="J1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FACT 4.048.805.728
PROV -3.535.826.245</t>
        </r>
      </text>
    </comment>
    <comment ref="K16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Astrid Elena Alvarez Rodriguez:</t>
        </r>
        <r>
          <rPr>
            <sz val="9"/>
            <color indexed="81"/>
            <rFont val="Tahoma"/>
            <family val="2"/>
          </rPr>
          <t xml:space="preserve">
FACT 3.996.519.735
PROV -879,868,261
RECLASIF FOSYGA -859678176</t>
        </r>
      </text>
    </comment>
    <comment ref="L16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FACT 4.589.951.065
PROV -102.950.079
</t>
        </r>
      </text>
    </comment>
    <comment ref="M16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FACT 5.450.051.483
PROV -385.292.182
</t>
        </r>
      </text>
    </comment>
    <comment ref="J17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Astrid Elena Alvarez Rodriguez:</t>
        </r>
        <r>
          <rPr>
            <sz val="9"/>
            <color indexed="81"/>
            <rFont val="Tahoma"/>
            <family val="2"/>
          </rPr>
          <t xml:space="preserve">
Se resta el saldo final de la 48 OTROS ING y el saldo inicial</t>
        </r>
      </text>
    </comment>
    <comment ref="D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 515.996.058
RECUPERACIÓN PROVISION 23.964.867.414
OTROS ING (RENDIM) 238.210.972</t>
        </r>
      </text>
    </comment>
    <comment ref="E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RESERVA: 593.549.245
RECUPERACIÓN PROVISION -1.435.068.910
OTROS ING (RENDIM) 276.243.337</t>
        </r>
      </text>
    </comment>
    <comment ref="F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 3,063,776,432
RECUP PROVISION  14.100.616.316
OTROS ING (RENDIM) 650,956,935</t>
        </r>
      </text>
    </comment>
    <comment ref="G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DISMINUCIÓN RECUPERACIÓN RESERVA -2.379.390.193
RECUP PROVISION  7.104.584.687
OTROS ING (RENDIM) 359.899.379</t>
        </r>
      </text>
    </comment>
    <comment ref="H1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 1,261,875,703
DISMINUC RECUP PROVISION  -4,191,004,184
OTROS ING (RENDIM) 469,299,118</t>
        </r>
      </text>
    </comment>
    <comment ref="J62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Astrid Elena Alvarez Rodriguez:</t>
        </r>
        <r>
          <rPr>
            <sz val="9"/>
            <color indexed="81"/>
            <rFont val="Tahoma"/>
            <family val="2"/>
          </rPr>
          <t xml:space="preserve">
Factura UDEA
</t>
        </r>
      </text>
    </comment>
    <comment ref="J69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Astrid Elena Alvarez Rodriguez:</t>
        </r>
        <r>
          <rPr>
            <sz val="9"/>
            <color indexed="81"/>
            <rFont val="Tahoma"/>
            <family val="2"/>
          </rPr>
          <t xml:space="preserve">
Banca de Inversion</t>
        </r>
      </text>
    </comment>
    <comment ref="L69" authorId="2" shapeId="0" xr:uid="{00000000-0006-0000-0200-00001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BCA INV</t>
        </r>
      </text>
    </comment>
    <comment ref="L79" authorId="2" shapeId="0" xr:uid="{00000000-0006-0000-0200-00001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Servisoft</t>
        </r>
      </text>
    </comment>
    <comment ref="A106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Incluye asesoria pruebas psicotecnicas
</t>
        </r>
      </text>
    </comment>
    <comment ref="L112" authorId="2" shapeId="0" xr:uid="{00000000-0006-0000-0200-00001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juridica</t>
        </r>
      </text>
    </comment>
    <comment ref="M112" authorId="2" shapeId="0" xr:uid="{00000000-0006-0000-0200-00001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Juridica</t>
        </r>
      </text>
    </comment>
    <comment ref="A137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ESTE INCLUYE PGP HOMOGENEO Y HETEREOGENEO DE RC Y 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daphne morales soto</author>
  </authors>
  <commentList>
    <comment ref="B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daphne morales soto:</t>
        </r>
        <r>
          <rPr>
            <sz val="9"/>
            <color indexed="81"/>
            <rFont val="Tahoma"/>
            <family val="2"/>
          </rPr>
          <t xml:space="preserve">
RECUPERACIÓN RESERVA 1,261,875,703
DISMINUC RECUP PROVISION  -4,191,004,184
OTROS ING (RENDIM) 469,299,118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Daphne Morales</author>
  </authors>
  <commentList>
    <comment ref="G2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Daphne Morales:</t>
        </r>
        <r>
          <rPr>
            <sz val="9"/>
            <color indexed="81"/>
            <rFont val="Tahoma"/>
            <family val="2"/>
          </rPr>
          <t xml:space="preserve">
sa</t>
        </r>
      </text>
    </comment>
  </commentList>
</comments>
</file>

<file path=xl/sharedStrings.xml><?xml version="1.0" encoding="utf-8"?>
<sst xmlns="http://schemas.openxmlformats.org/spreadsheetml/2006/main" count="603" uniqueCount="361">
  <si>
    <t>ALIANZA MEDELLÍN ANTIOQUIA EPS S.A.S.</t>
  </si>
  <si>
    <t>SAVIA SALUD EPS</t>
  </si>
  <si>
    <t>Detalle</t>
  </si>
  <si>
    <t>Ejecución 2015</t>
  </si>
  <si>
    <t>Presupuesto Aprobado 2016</t>
  </si>
  <si>
    <t>Total Enero 
Sept 2016</t>
  </si>
  <si>
    <t>Ejecución Proyectada 2016</t>
  </si>
  <si>
    <t>INGRESOS</t>
  </si>
  <si>
    <t>Ingresos POS</t>
  </si>
  <si>
    <t>UPC Regimen Subsidiado</t>
  </si>
  <si>
    <t>UPC Regimen Contributivo</t>
  </si>
  <si>
    <t>Copagos</t>
  </si>
  <si>
    <t>Cuotas Moderadoras</t>
  </si>
  <si>
    <t>PyP Contributivo</t>
  </si>
  <si>
    <t>Incapacidades</t>
  </si>
  <si>
    <t>Ingresos CAC y Fondo Cta Hemofilia</t>
  </si>
  <si>
    <t>Restituciones</t>
  </si>
  <si>
    <t>Ingresos Recobros NO POS</t>
  </si>
  <si>
    <t>Ing. No Operacionales</t>
  </si>
  <si>
    <t>Ingresos de EA</t>
  </si>
  <si>
    <t>Cápita</t>
  </si>
  <si>
    <t>Cápita RC</t>
  </si>
  <si>
    <t>Evento Primer Nivel</t>
  </si>
  <si>
    <t>Medicamentos Ambulatorios</t>
  </si>
  <si>
    <t>Evento Segundo y Tercer Nivel</t>
  </si>
  <si>
    <t>Alto Costo</t>
  </si>
  <si>
    <t>Recobros POS</t>
  </si>
  <si>
    <t>Recobros NO POS</t>
  </si>
  <si>
    <t>Póliza Reaseguro Alto Costo</t>
  </si>
  <si>
    <t>Reservas</t>
  </si>
  <si>
    <t>Incapacidades RC</t>
  </si>
  <si>
    <t>GASTOS</t>
  </si>
  <si>
    <t>Gastos de Personal</t>
  </si>
  <si>
    <t>Servicios Personales Asociados a la nómina</t>
  </si>
  <si>
    <t>Servicios Personales indirectos</t>
  </si>
  <si>
    <t>Contribuciones nómina</t>
  </si>
  <si>
    <t>Gastos Generales</t>
  </si>
  <si>
    <t>Adquisición de bienes</t>
  </si>
  <si>
    <t>Adquisición de servicios</t>
  </si>
  <si>
    <t>Impuestos, tasas y sanciones</t>
  </si>
  <si>
    <t>Otros gastos</t>
  </si>
  <si>
    <t>Provisiones y Amortizaciones</t>
  </si>
  <si>
    <t>Gastos Ejercicios Anteriores</t>
  </si>
  <si>
    <t>Resultado</t>
  </si>
  <si>
    <t>Presupuesto Aprobado 2017</t>
  </si>
  <si>
    <t>Ajuste</t>
  </si>
  <si>
    <t>Presupuesto Ajustado 2017 en Pesos</t>
  </si>
  <si>
    <t>Presupuesto Ajustado 2017 en Millones</t>
  </si>
  <si>
    <t>GASTOS DE FUNCIONAMIENTO</t>
  </si>
  <si>
    <t>Otros Ingresos</t>
  </si>
  <si>
    <t>Gasto Aseguramiento</t>
  </si>
  <si>
    <t>Gasto de Funcionamiento</t>
  </si>
  <si>
    <t>Otros Gastos</t>
  </si>
  <si>
    <t xml:space="preserve">Otos Gastos </t>
  </si>
  <si>
    <t>Otros Gastos No Operacionales</t>
  </si>
  <si>
    <t>ALIANZA MEDELLIN ANTIOQUIA EPS SAS</t>
  </si>
  <si>
    <t>Concepto</t>
  </si>
  <si>
    <t>TOTAL GASTOS</t>
  </si>
  <si>
    <t>Sueldos personal de nómina</t>
  </si>
  <si>
    <t>Cuota Aprendizaje</t>
  </si>
  <si>
    <t>Auxilio de transporte</t>
  </si>
  <si>
    <t>Cesantías</t>
  </si>
  <si>
    <t>Intereses Cesantias</t>
  </si>
  <si>
    <t>Prima de servicios</t>
  </si>
  <si>
    <t>Vacaciones</t>
  </si>
  <si>
    <t>Horas extras, dominicales y festivas</t>
  </si>
  <si>
    <t>Indemnizaciones (vacaciones, despidos)</t>
  </si>
  <si>
    <t>Honorarios</t>
  </si>
  <si>
    <t>Remuneración servicios técnicos</t>
  </si>
  <si>
    <t>Otros gastos por servicios personales</t>
  </si>
  <si>
    <t>Caja de compensación familiar</t>
  </si>
  <si>
    <t>Instituto Colombiano de Bienestar Familiar</t>
  </si>
  <si>
    <t>Servicio Nacional de Aprendizaje</t>
  </si>
  <si>
    <t>Aportes de EPS</t>
  </si>
  <si>
    <t>Aportes de Pensión</t>
  </si>
  <si>
    <t>Compra de equipo</t>
  </si>
  <si>
    <t>Muebles y enseres</t>
  </si>
  <si>
    <t>Equipo y máquina de oficina</t>
  </si>
  <si>
    <t>Equipo de comunicación</t>
  </si>
  <si>
    <t>Equipo de computación y licencias</t>
  </si>
  <si>
    <t>Equipo de Cocina y Cafeteria</t>
  </si>
  <si>
    <t>Gestión Humana</t>
  </si>
  <si>
    <t>Dotación Uniformes</t>
  </si>
  <si>
    <t>Administrativa</t>
  </si>
  <si>
    <t>Elementos de Oficina</t>
  </si>
  <si>
    <t>Elementos de Aseo y Cafeteria</t>
  </si>
  <si>
    <t>Gastos imprevistos</t>
  </si>
  <si>
    <t>Gastos Operación</t>
  </si>
  <si>
    <t>Contratos Universidad de Antioquia</t>
  </si>
  <si>
    <t xml:space="preserve">Asisten tecnica a IPS reporte Res 4505-2012 </t>
  </si>
  <si>
    <t>Consultorias ECSIN</t>
  </si>
  <si>
    <t xml:space="preserve">Servicios Informaticos  - Bolsa de Horas </t>
  </si>
  <si>
    <t>Mesa de Ayuda y Centro Regulador</t>
  </si>
  <si>
    <t>Consultoria Medios Magneticos</t>
  </si>
  <si>
    <t>Revisoria Fiscal</t>
  </si>
  <si>
    <t>Monitoreo de Medios y Prensa</t>
  </si>
  <si>
    <t>Asesorias Juridicas y Agencias de Derecho</t>
  </si>
  <si>
    <t>Consultoria AFG - Normas Internacionales</t>
  </si>
  <si>
    <t>Administración Aseo, Vigilancia y Arrendamientos</t>
  </si>
  <si>
    <t>Servicios Administrativos</t>
  </si>
  <si>
    <t>Servicios de Aseo</t>
  </si>
  <si>
    <t>Servicios de Vigilancia</t>
  </si>
  <si>
    <t>Servicios Publicos</t>
  </si>
  <si>
    <t>Servicios públicos Energia Electrica</t>
  </si>
  <si>
    <t>Servicios públicos Acueducto</t>
  </si>
  <si>
    <t>Servicios públicos Alcantarillado</t>
  </si>
  <si>
    <t>Servicios públicos Tasa de Aseo</t>
  </si>
  <si>
    <t>Servicios públicos Telefonia Fija</t>
  </si>
  <si>
    <t>Servicios públicos Servicio Internet</t>
  </si>
  <si>
    <t>Servicios públicos Telefonia Movil</t>
  </si>
  <si>
    <t>Servicios públicos Telecomunicaciones de Datos</t>
  </si>
  <si>
    <t>Arrendamientos</t>
  </si>
  <si>
    <t>Arrendamiento Construcciones y Edi</t>
  </si>
  <si>
    <t>Arrendamiento Muebles, Enseres y E</t>
  </si>
  <si>
    <t>Arrendamiento Equipo Computo y Com</t>
  </si>
  <si>
    <t>Arrendamiento Software</t>
  </si>
  <si>
    <t>Mantenimiento</t>
  </si>
  <si>
    <t>Mantenimiento Construcciones y Edi</t>
  </si>
  <si>
    <t>Mantenimiento Equipo de Oficina</t>
  </si>
  <si>
    <t>Mantenimiento Equipo Comunicación</t>
  </si>
  <si>
    <t>Adecuaciones Sede Nueva</t>
  </si>
  <si>
    <t>Comunicaciones y Publicidad</t>
  </si>
  <si>
    <t>Impresos y publicaciones</t>
  </si>
  <si>
    <t>Comunicaciones y Publicidad - Operador Logistico</t>
  </si>
  <si>
    <t>Promocion y Divulgación</t>
  </si>
  <si>
    <t>Viáticos y gastos de viaje</t>
  </si>
  <si>
    <t>Servicios Bienestar e Integración</t>
  </si>
  <si>
    <t>Seguridad Industrial</t>
  </si>
  <si>
    <t>Gastos Legales</t>
  </si>
  <si>
    <t>Gastos Legales, Costas y Agencias Procesales</t>
  </si>
  <si>
    <t>Gastos Audiencias Extrajudiciales</t>
  </si>
  <si>
    <t>Gastos Financieros</t>
  </si>
  <si>
    <t>Intereses de Mora Adtvos y FOSYGA</t>
  </si>
  <si>
    <t>Gastos y Comisiones Bancarias</t>
  </si>
  <si>
    <t>Int Compra Cartera y Credito IDEA</t>
  </si>
  <si>
    <t>Impuestos Telefonia Celular</t>
  </si>
  <si>
    <t>Tasa Contibución Supersalud</t>
  </si>
  <si>
    <t>Sanciones Supersalud</t>
  </si>
  <si>
    <t>Transportes y Fletes</t>
  </si>
  <si>
    <t>Seguros</t>
  </si>
  <si>
    <t>Fotocopias</t>
  </si>
  <si>
    <t>Depreciaciones y Amortizaciones</t>
  </si>
  <si>
    <t>GASTOS DEL ASEGURAMIENTO EN SALUD</t>
  </si>
  <si>
    <t>Gasto en Salud</t>
  </si>
  <si>
    <t>Reservas Técnicas</t>
  </si>
  <si>
    <t>Incapacidades Movilidad Contributivo</t>
  </si>
  <si>
    <t>TOTAL INGRESOS</t>
  </si>
  <si>
    <t>OTROS INGRESOS</t>
  </si>
  <si>
    <t>Presupuesto Aprobado 2017 por Junta Directiva</t>
  </si>
  <si>
    <t>PRESUPUESTO VIGENCIA 2017</t>
  </si>
  <si>
    <t>PRESUPUESTO 2017</t>
  </si>
  <si>
    <t>Utiles y Papeleria - Correo</t>
  </si>
  <si>
    <t>Auditoria Medica Cuentas Medicas e Integral</t>
  </si>
  <si>
    <t>Provisión Facturación no Radicada</t>
  </si>
  <si>
    <t xml:space="preserve">% Ejecución </t>
  </si>
  <si>
    <t>Capitación y PGP</t>
  </si>
  <si>
    <t xml:space="preserve">Gastos Imprevistos - Provision Litigios </t>
  </si>
  <si>
    <t>Deterioro de Cartera</t>
  </si>
  <si>
    <t>Reajustes de Capita periodos anteriores</t>
  </si>
  <si>
    <t xml:space="preserve">Operación Regimen Contributivo </t>
  </si>
  <si>
    <t>Evalución Tecnica Apoyo CTC  - Recuperación NO POS</t>
  </si>
  <si>
    <t>Provisiones y Otros</t>
  </si>
  <si>
    <t>Costo Servicio Recaudo Contributivo</t>
  </si>
  <si>
    <t>SERVISOFT S.A</t>
  </si>
  <si>
    <t>TOTAL</t>
  </si>
  <si>
    <t>Imprevistos - Gestión del Riesgo - Servisoft-Emermedica</t>
  </si>
  <si>
    <t>SERVISOFT</t>
  </si>
  <si>
    <t>Capacitacion y selección del Personal</t>
  </si>
  <si>
    <t>Provisión Retroactivo Capita 2015 y 2016</t>
  </si>
  <si>
    <t>juridica</t>
  </si>
  <si>
    <t>Presupuesto Mes Aprobado 2017 por Junta Directiva</t>
  </si>
  <si>
    <t>Ejecutado Mes 01/10/2017</t>
  </si>
  <si>
    <t>Ejecutado Total Enero - Octubre 2017</t>
  </si>
  <si>
    <t>Costo RC Red Cap.</t>
  </si>
  <si>
    <t>Costo RC PGP Homog</t>
  </si>
  <si>
    <t>Costo RC PGP Hetereo</t>
  </si>
  <si>
    <t>Costo EPS-s Red Capitada</t>
  </si>
  <si>
    <t>Costo EPS-s PGP Homo</t>
  </si>
  <si>
    <t>Costo EPS-s PGP Hete</t>
  </si>
  <si>
    <t>Costo RC Consulta Medica General</t>
  </si>
  <si>
    <t>Costo RC Urgencias</t>
  </si>
  <si>
    <t>Costo RC Hospitalizacion Nivel 1</t>
  </si>
  <si>
    <t>Costo RC Quirofano y Sala de Parto N1</t>
  </si>
  <si>
    <t>Costo RC Laboratorio Clinico</t>
  </si>
  <si>
    <t>Costo RC Imagenologia</t>
  </si>
  <si>
    <t>Costo RC Salud Oral y Urgencias</t>
  </si>
  <si>
    <t>Costo RC Optometra</t>
  </si>
  <si>
    <t>Costo RC Prevencion y Proteccion Salud Oral</t>
  </si>
  <si>
    <t>Costo RC Proteccion Especifica en Salud</t>
  </si>
  <si>
    <t>Costo RC Remision Pacientes</t>
  </si>
  <si>
    <t>Costo EPS-s Consulta Medica General</t>
  </si>
  <si>
    <t>Costo EPS-s Urgencias</t>
  </si>
  <si>
    <t>Costo EPS-s Hospitalizacion Nivel 1</t>
  </si>
  <si>
    <t>Costo EPS-s Quirofano y Sala de Parto N</t>
  </si>
  <si>
    <t>Costo EPS-s Laboratorio Clinico</t>
  </si>
  <si>
    <t>Costo EPS-s Imagenologia</t>
  </si>
  <si>
    <t>Costo EPS-s Salud Oral y Urgencias</t>
  </si>
  <si>
    <t>Costo EPS-s Optometria Lentes y Montura</t>
  </si>
  <si>
    <t>Costo EPS-s Prevencion y Proteccion Sal</t>
  </si>
  <si>
    <t>Costo EPS-s Proteccion Especifica en Sa</t>
  </si>
  <si>
    <t>Costo EPS-s Remision Pacientes</t>
  </si>
  <si>
    <t>Costo RC Medicamentos Ambulatorios</t>
  </si>
  <si>
    <t>Costo EPS-s Medicamentos Ambulatorios</t>
  </si>
  <si>
    <t>Costo RC Consulta Medica Especializada</t>
  </si>
  <si>
    <t>Costo RC Hospitalizacion N 2y3</t>
  </si>
  <si>
    <t>Costo RC Procedimiento Cirugia General</t>
  </si>
  <si>
    <t>Costo RC Quirofano y Sala de Parto N 2y3</t>
  </si>
  <si>
    <t>Costo RC Procedimientos Ortopedia Ambulatoria</t>
  </si>
  <si>
    <t>Costo RC Imagenologia Electiva</t>
  </si>
  <si>
    <t>Costo RC Laboratorio Electivo N 2y3</t>
  </si>
  <si>
    <t>Costo RC Actividades Med Fisica Rehabilitacion</t>
  </si>
  <si>
    <t>Costo RC Actividades Oftalmologicas</t>
  </si>
  <si>
    <t>Costo EPS-s Consulta Medica Especializa</t>
  </si>
  <si>
    <t>Costo EPS-s Hospitalizacion N 2y3</t>
  </si>
  <si>
    <t>Costo EPS-s Procedimiento Cirugia Gener</t>
  </si>
  <si>
    <t>Costo EPS-s Procedimientos Ortopedia Am</t>
  </si>
  <si>
    <t>Costo EPS-s Imagenologia Electiva</t>
  </si>
  <si>
    <t>Costo EPS-s Laboratorio Electivo N 2y3</t>
  </si>
  <si>
    <t>Costo EPS-s Actividades Med Fisica Reha</t>
  </si>
  <si>
    <t>Costo EPS-s Actividades Oftalmologicas</t>
  </si>
  <si>
    <t>Costo RC Prediagnosticos Especiales</t>
  </si>
  <si>
    <t>Costo RC Enfermedades y Medicamentos Alto Costo</t>
  </si>
  <si>
    <t>Costo EPS-s Prediagnosticos Especiales</t>
  </si>
  <si>
    <t>Costo EPS-s Enfermedades y Medicamentos</t>
  </si>
  <si>
    <t>Costo EPS-s Recobros Red Capitada</t>
  </si>
  <si>
    <t>Costo EPS Reaseg AC</t>
  </si>
  <si>
    <t>Nuevos proyectos para aprobar y/o reclasificar</t>
  </si>
  <si>
    <t>Visitas de fortalecimiento de participacion social</t>
  </si>
  <si>
    <t xml:space="preserve">Formacion asociacion de usuarios </t>
  </si>
  <si>
    <t>Programa de seguimiento mensual Plan de Desarrollo</t>
  </si>
  <si>
    <t>Diseño e implementación del banco de conocimiento</t>
  </si>
  <si>
    <t>Gestión Documental</t>
  </si>
  <si>
    <t>Costo Total de Atención</t>
  </si>
  <si>
    <t>Costo RC - Licencias Maternidad y Pater</t>
  </si>
  <si>
    <t>Costo No Coberturas en Salud</t>
  </si>
  <si>
    <t>Costo EPS-s Reaseguros Enfermedades Alt</t>
  </si>
  <si>
    <t>Reserv Tecn ObligPendientes Conocidas R</t>
  </si>
  <si>
    <t>Reserv Tecn ObligPendientesNoConocidasR</t>
  </si>
  <si>
    <t>ReservaTécnicaIncapacidadesporEnfermeda</t>
  </si>
  <si>
    <t>Recobros PGP</t>
  </si>
  <si>
    <t>Costo RC Recobros PGP</t>
  </si>
  <si>
    <t>Costo  EPS-s Recobros PGP</t>
  </si>
  <si>
    <t>INGRESOS NO PBS</t>
  </si>
  <si>
    <t>INGRESOS PBS</t>
  </si>
  <si>
    <t>Auxilio de transporte y Comunicaciones</t>
  </si>
  <si>
    <t>Interoperabllidad</t>
  </si>
  <si>
    <t>Area Protegida</t>
  </si>
  <si>
    <t>Consultoria y Asesoria Legal</t>
  </si>
  <si>
    <t>Costo EPS-s Recobros ADRESS</t>
  </si>
  <si>
    <t>Costo EPS-s Recobros SSSA</t>
  </si>
  <si>
    <t>Costo RC Recobros ADRESS</t>
  </si>
  <si>
    <t>Costo RC Recobros SSSA</t>
  </si>
  <si>
    <t>Recobros NO PBS</t>
  </si>
  <si>
    <t>INDICADORES</t>
  </si>
  <si>
    <t>PARTICIPACION</t>
  </si>
  <si>
    <t>PRESUPUESTO  2018</t>
  </si>
  <si>
    <t>Aportes de ARL</t>
  </si>
  <si>
    <t xml:space="preserve">Otros Gastos </t>
  </si>
  <si>
    <t>DEFICIT APROBADO 2017/2018</t>
  </si>
  <si>
    <t>Ingresos Recobros NO PBS</t>
  </si>
  <si>
    <t>Imprevistos - Gestión del Riesgo</t>
  </si>
  <si>
    <t>Impuestos Telefonia Celular y 4*1000</t>
  </si>
  <si>
    <t xml:space="preserve">Presupuesto Mes Aprobado 2018 </t>
  </si>
  <si>
    <t>EJECUCION PRESUPUESTO VIGENCIA 2018</t>
  </si>
  <si>
    <t>Costo RS Red Capitada</t>
  </si>
  <si>
    <t xml:space="preserve">Costo RC y RS PGP </t>
  </si>
  <si>
    <t>Costo RC y RS Consulta Medica General</t>
  </si>
  <si>
    <t>Costo RC y RS Urgencias</t>
  </si>
  <si>
    <t>Costo RS y RC Hospitalizacion Nivel 1</t>
  </si>
  <si>
    <t>Costo RS y RC Quirofano y Sala de Parto N</t>
  </si>
  <si>
    <t>Costo RS y RC Laboratorio Clinico</t>
  </si>
  <si>
    <t>Costo RS y RC Imagenologia</t>
  </si>
  <si>
    <t>Costo RS y RC Salud Oral y Urgencias</t>
  </si>
  <si>
    <t>Costo RS y RC Optometria Lentes y Montura</t>
  </si>
  <si>
    <t>Costo RS y RC Prevencion y Proteccion Sal</t>
  </si>
  <si>
    <t>Costo RS y RC Proteccion Especifica en Sa</t>
  </si>
  <si>
    <t>Costo RS y RC Remision Pacientes</t>
  </si>
  <si>
    <t>Costo RS Medicamentos Ambulatorios</t>
  </si>
  <si>
    <t>Costo RS y RC Consulta Medica Especializa</t>
  </si>
  <si>
    <t>Costo RS y RC Hospitalizacion N 2y3</t>
  </si>
  <si>
    <t>Costo RS y RC Procedimiento Cirugia Gener</t>
  </si>
  <si>
    <t>Costo RS y RC Procedimientos Ortopedia Am</t>
  </si>
  <si>
    <t>Costo RS y RC Imagenologia Electiva</t>
  </si>
  <si>
    <t>Costo RS y RC Laboratorio Electivo N 2y3</t>
  </si>
  <si>
    <t>Costo RS y RC Actividades Med Fisica Reha</t>
  </si>
  <si>
    <t>Costo RS y RC Actividades Oftalmologicas</t>
  </si>
  <si>
    <t>Costo RS y RC Prediagnosticos Especiales</t>
  </si>
  <si>
    <t>Costo RS y RC Enfermedades y Medicamentos</t>
  </si>
  <si>
    <t>Costo RS y RC Recobros Red Capitada</t>
  </si>
  <si>
    <t>Costo RC y RS Recobros ADRESS</t>
  </si>
  <si>
    <t>Costo RC y RS Recobros SSSA</t>
  </si>
  <si>
    <t>PROASISTEMAS S.A</t>
  </si>
  <si>
    <t>Helissa</t>
  </si>
  <si>
    <t>Gestón Documental</t>
  </si>
  <si>
    <t>DANIEL DE LOS DOLORES ARANGO S</t>
  </si>
  <si>
    <t>Pediatra</t>
  </si>
  <si>
    <t>ANDRES FELIPE VALENCIA DURANGO</t>
  </si>
  <si>
    <t>Asesoria Juridica</t>
  </si>
  <si>
    <t>TRIARIO SAS</t>
  </si>
  <si>
    <t>Soporte Aplicativo e Infraestruct Sitio Web</t>
  </si>
  <si>
    <t>Enero</t>
  </si>
  <si>
    <t>Febrero</t>
  </si>
  <si>
    <t>E - GLOBAL S.A.</t>
  </si>
  <si>
    <t>Mesa de Ayuda</t>
  </si>
  <si>
    <t>SOLUTIONS &amp; BUSINESS CONSULTIN</t>
  </si>
  <si>
    <t xml:space="preserve">Soporte modulos SAP </t>
  </si>
  <si>
    <t>Marzo</t>
  </si>
  <si>
    <t>HARDWARE &amp; SOFTWARE SOLUTIONS</t>
  </si>
  <si>
    <t>Medios Magneticos</t>
  </si>
  <si>
    <t>Abril</t>
  </si>
  <si>
    <t>UNIVERSIDAD DE ANTIOQUIA</t>
  </si>
  <si>
    <t>Mayo</t>
  </si>
  <si>
    <t>MICROCOLSA GRUPO DIGITEX SAS</t>
  </si>
  <si>
    <t>Ejecutado mes Mayo 2018</t>
  </si>
  <si>
    <t>Evento</t>
  </si>
  <si>
    <t xml:space="preserve"> Mayo 2018 Adtvo</t>
  </si>
  <si>
    <t>Se descuenta la recuperación de provisiones y reserva</t>
  </si>
  <si>
    <t>Se descuenta las glosas que estaban en inconsistencias por valor de $23,065,751,394 y las corecciones de los errores de Dic 2017 por valor de $ 1,433,981,497.</t>
  </si>
  <si>
    <t>Se incluye provisión por cambio  de mes por valor de $6,801,545,082</t>
  </si>
  <si>
    <t>Servicios Informaticos  - Bolsa de Horas (Triario, Proasist, SAP, Hysoft)</t>
  </si>
  <si>
    <t>Interoperabllidad - Auditoria Integral SAP Integra</t>
  </si>
  <si>
    <t>Tasa Contibución y Sanciones Supersalud</t>
  </si>
  <si>
    <t>OCTUBRE</t>
  </si>
  <si>
    <t>CUENTA 5111807000</t>
  </si>
  <si>
    <t>Consult Fase 1 RFP 16 Ago -15 Sep18 Cont 0293-2018</t>
  </si>
  <si>
    <t>Ord Comp Licen Creative Cloud - Aplicativo Comunic</t>
  </si>
  <si>
    <t>Consult Fase 1 RFP Octubr/2018 Term Cont 0293-2018</t>
  </si>
  <si>
    <t>Consult Mesa Ayuda SAP Cont 0875-2017 Sept18</t>
  </si>
  <si>
    <t>VALOR</t>
  </si>
  <si>
    <t>GASTOS SERV ASESORIA TECNICA</t>
  </si>
  <si>
    <t>Svcios Renta Mercurio Apoy taq Septiembre /18</t>
  </si>
  <si>
    <t>Invent Doc Operad comfama y Elaborac TRD Sep/2018</t>
  </si>
  <si>
    <t>Prestación Servicios Mesa de ayuda Sept 2018</t>
  </si>
  <si>
    <t>SOCIEDAD DE EXPLOTACION DE REDES</t>
  </si>
  <si>
    <t>1ra Fase Acta Entrega Etapa Análisis</t>
  </si>
  <si>
    <t>Mantenimiento pagina Web 2018 - Rediseño Web</t>
  </si>
  <si>
    <t>HUGO ARMANDO SERNA PINEDA</t>
  </si>
  <si>
    <t>TOTAL CUENTA</t>
  </si>
  <si>
    <t>CUENTA 5111793000</t>
  </si>
  <si>
    <t>GASTOS HONORARIOS CONSULTOR</t>
  </si>
  <si>
    <t>Q10 SOLUCIONES S.A.S</t>
  </si>
  <si>
    <t>Svcios en la Nube Q10 Academico - 1 Año</t>
  </si>
  <si>
    <t>CUENTA 5111793500</t>
  </si>
  <si>
    <t>GASTOS HONORARIOS ASESORIA TECNICA</t>
  </si>
  <si>
    <t>Asesoria Repres Judic Der Lab y SS 01 al 31 Oct/18</t>
  </si>
  <si>
    <t>ANDRES FELIPE VALENC</t>
  </si>
  <si>
    <t>Soporte Aplicativo e Infraestruct Sitio Web Ago18</t>
  </si>
  <si>
    <t>Consultoria y Asesoria Legal en la ejec Ptal</t>
  </si>
  <si>
    <t>EN LA EJECUCION PTAL</t>
  </si>
  <si>
    <t>OK</t>
  </si>
  <si>
    <t>GRAN TOTAL</t>
  </si>
  <si>
    <t xml:space="preserve">Multas y Sanciones </t>
  </si>
  <si>
    <t>triario</t>
  </si>
  <si>
    <t>Gtos Honorarios Asesoria Tecnica</t>
  </si>
  <si>
    <t>Gtos Serv. Asesoria Tecnica</t>
  </si>
  <si>
    <t>Gtos Honorarios Consultorias</t>
  </si>
  <si>
    <t>Balance</t>
  </si>
  <si>
    <t>Ejecutado Total Enero-Diciembre 2018</t>
  </si>
  <si>
    <t>eserv Tecn ObligPendientes Conocidas R</t>
  </si>
  <si>
    <t>AJUSTES DE CIERRE</t>
  </si>
  <si>
    <t>Presupuesto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</si>
</sst>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&quot;$&quot;\ #,##0_);[Red]\(&quot;$&quot;\ #,##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#,##0.0"/>
    <numFmt numFmtId="169" formatCode="_ * #,##0_ ;_ * \-#,##0_ ;_ * &quot;-&quot;??_ ;_ @_ "/>
    <numFmt numFmtId="170" formatCode="0.000%"/>
    <numFmt numFmtId="171" formatCode="0.0%"/>
    <numFmt numFmtId="172" formatCode="_-[$€-2]* #,##0.00_-;\-[$€-2]* #,##0.00_-;_-[$€-2]* &quot;-&quot;??_-"/>
    <numFmt numFmtId="173" formatCode="_-* #,##0.00\ _€_-;\-* #,##0.00\ _€_-;_-* &quot;-&quot;??\ _€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color theme="0"/>
      <name val="Calibri"/>
      <family val="2"/>
      <scheme val="minor"/>
    </font>
    <font>
      <b/>
      <i/>
      <sz val="12"/>
      <color rgb="FF00000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sz val="11"/>
      <name val="Arial"/>
      <family val="2"/>
    </font>
    <font>
      <i/>
      <u val="singleAccounting"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color rgb="FF222222"/>
      <name val="Tahoma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B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5F3F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7" applyNumberFormat="0" applyAlignment="0" applyProtection="0"/>
    <xf numFmtId="0" fontId="41" fillId="20" borderId="8" applyNumberFormat="0" applyAlignment="0" applyProtection="0"/>
    <xf numFmtId="0" fontId="42" fillId="20" borderId="7" applyNumberFormat="0" applyAlignment="0" applyProtection="0"/>
    <xf numFmtId="0" fontId="43" fillId="0" borderId="9" applyNumberFormat="0" applyFill="0" applyAlignment="0" applyProtection="0"/>
    <xf numFmtId="0" fontId="44" fillId="21" borderId="10" applyNumberFormat="0" applyAlignment="0" applyProtection="0"/>
    <xf numFmtId="0" fontId="31" fillId="0" borderId="0" applyNumberFormat="0" applyFill="0" applyBorder="0" applyAlignment="0" applyProtection="0"/>
    <xf numFmtId="0" fontId="1" fillId="22" borderId="11" applyNumberFormat="0" applyFont="0" applyAlignment="0" applyProtection="0"/>
    <xf numFmtId="0" fontId="4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6" borderId="0" applyNumberFormat="0" applyBorder="0" applyAlignment="0" applyProtection="0"/>
    <xf numFmtId="172" fontId="1" fillId="0" borderId="0"/>
    <xf numFmtId="41" fontId="1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3" applyFont="1"/>
    <xf numFmtId="166" fontId="4" fillId="0" borderId="0" xfId="4" applyNumberFormat="1" applyFont="1"/>
    <xf numFmtId="0" fontId="5" fillId="0" borderId="1" xfId="3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top"/>
    </xf>
    <xf numFmtId="166" fontId="6" fillId="0" borderId="1" xfId="1" applyNumberFormat="1" applyFont="1" applyFill="1" applyBorder="1" applyAlignment="1">
      <alignment horizontal="right" vertical="center"/>
    </xf>
    <xf numFmtId="9" fontId="4" fillId="0" borderId="0" xfId="2" applyFont="1"/>
    <xf numFmtId="0" fontId="4" fillId="0" borderId="1" xfId="3" applyFont="1" applyBorder="1" applyAlignment="1">
      <alignment horizontal="left" vertical="top"/>
    </xf>
    <xf numFmtId="166" fontId="4" fillId="0" borderId="1" xfId="1" applyNumberFormat="1" applyFont="1" applyBorder="1" applyAlignment="1">
      <alignment horizontal="left" vertical="top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/>
    <xf numFmtId="166" fontId="8" fillId="0" borderId="1" xfId="1" applyNumberFormat="1" applyFont="1" applyFill="1" applyBorder="1"/>
    <xf numFmtId="0" fontId="4" fillId="0" borderId="1" xfId="3" applyFont="1" applyBorder="1"/>
    <xf numFmtId="166" fontId="6" fillId="0" borderId="1" xfId="1" applyNumberFormat="1" applyFont="1" applyFill="1" applyBorder="1" applyAlignment="1">
      <alignment horizontal="left" vertical="top"/>
    </xf>
    <xf numFmtId="166" fontId="4" fillId="0" borderId="1" xfId="1" applyNumberFormat="1" applyFont="1" applyFill="1" applyBorder="1"/>
    <xf numFmtId="0" fontId="2" fillId="0" borderId="0" xfId="3"/>
    <xf numFmtId="166" fontId="6" fillId="0" borderId="1" xfId="1" applyNumberFormat="1" applyFont="1" applyBorder="1"/>
    <xf numFmtId="0" fontId="4" fillId="0" borderId="1" xfId="3" applyFont="1" applyBorder="1" applyAlignment="1">
      <alignment wrapText="1"/>
    </xf>
    <xf numFmtId="167" fontId="4" fillId="0" borderId="0" xfId="3" applyNumberFormat="1" applyFont="1"/>
    <xf numFmtId="166" fontId="4" fillId="0" borderId="1" xfId="1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top"/>
    </xf>
    <xf numFmtId="166" fontId="6" fillId="5" borderId="1" xfId="1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left" vertical="top"/>
    </xf>
    <xf numFmtId="0" fontId="10" fillId="0" borderId="1" xfId="3" applyFont="1" applyBorder="1"/>
    <xf numFmtId="0" fontId="7" fillId="0" borderId="0" xfId="0" applyFont="1"/>
    <xf numFmtId="0" fontId="12" fillId="0" borderId="0" xfId="0" applyFont="1"/>
    <xf numFmtId="0" fontId="5" fillId="4" borderId="1" xfId="0" applyFont="1" applyFill="1" applyBorder="1" applyAlignment="1">
      <alignment horizontal="left"/>
    </xf>
    <xf numFmtId="0" fontId="15" fillId="7" borderId="1" xfId="0" applyFont="1" applyFill="1" applyBorder="1"/>
    <xf numFmtId="0" fontId="8" fillId="0" borderId="0" xfId="0" applyFont="1"/>
    <xf numFmtId="0" fontId="7" fillId="9" borderId="1" xfId="0" applyFont="1" applyFill="1" applyBorder="1"/>
    <xf numFmtId="0" fontId="14" fillId="9" borderId="1" xfId="0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0" fillId="0" borderId="1" xfId="0" applyFont="1" applyBorder="1"/>
    <xf numFmtId="168" fontId="7" fillId="0" borderId="1" xfId="0" applyNumberFormat="1" applyFont="1" applyBorder="1"/>
    <xf numFmtId="169" fontId="7" fillId="0" borderId="1" xfId="1" applyNumberFormat="1" applyFont="1" applyBorder="1"/>
    <xf numFmtId="169" fontId="14" fillId="0" borderId="1" xfId="1" applyNumberFormat="1" applyFont="1" applyBorder="1"/>
    <xf numFmtId="169" fontId="7" fillId="0" borderId="1" xfId="1" applyNumberFormat="1" applyFont="1" applyFill="1" applyBorder="1"/>
    <xf numFmtId="169" fontId="16" fillId="2" borderId="1" xfId="1" applyNumberFormat="1" applyFont="1" applyFill="1" applyBorder="1" applyAlignment="1">
      <alignment horizontal="left" vertical="top"/>
    </xf>
    <xf numFmtId="0" fontId="7" fillId="0" borderId="1" xfId="0" applyFont="1" applyFill="1" applyBorder="1"/>
    <xf numFmtId="3" fontId="7" fillId="9" borderId="1" xfId="0" applyNumberFormat="1" applyFont="1" applyFill="1" applyBorder="1"/>
    <xf numFmtId="169" fontId="17" fillId="0" borderId="1" xfId="1" applyNumberFormat="1" applyFont="1" applyBorder="1"/>
    <xf numFmtId="169" fontId="15" fillId="7" borderId="1" xfId="0" applyNumberFormat="1" applyFont="1" applyFill="1" applyBorder="1"/>
    <xf numFmtId="169" fontId="17" fillId="0" borderId="1" xfId="1" applyNumberFormat="1" applyFont="1" applyFill="1" applyBorder="1" applyAlignment="1">
      <alignment wrapText="1"/>
    </xf>
    <xf numFmtId="169" fontId="5" fillId="4" borderId="1" xfId="0" applyNumberFormat="1" applyFont="1" applyFill="1" applyBorder="1" applyAlignment="1">
      <alignment horizontal="left"/>
    </xf>
    <xf numFmtId="169" fontId="14" fillId="0" borderId="1" xfId="1" applyNumberFormat="1" applyFont="1" applyFill="1" applyBorder="1"/>
    <xf numFmtId="0" fontId="13" fillId="4" borderId="1" xfId="0" applyFont="1" applyFill="1" applyBorder="1" applyAlignment="1">
      <alignment horizontal="left"/>
    </xf>
    <xf numFmtId="169" fontId="13" fillId="4" borderId="1" xfId="0" applyNumberFormat="1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vertical="center"/>
    </xf>
    <xf numFmtId="169" fontId="13" fillId="8" borderId="1" xfId="1" applyNumberFormat="1" applyFont="1" applyFill="1" applyBorder="1"/>
    <xf numFmtId="0" fontId="13" fillId="8" borderId="1" xfId="0" applyFont="1" applyFill="1" applyBorder="1"/>
    <xf numFmtId="3" fontId="13" fillId="8" borderId="1" xfId="0" applyNumberFormat="1" applyFont="1" applyFill="1" applyBorder="1"/>
    <xf numFmtId="3" fontId="14" fillId="9" borderId="1" xfId="0" applyNumberFormat="1" applyFont="1" applyFill="1" applyBorder="1"/>
    <xf numFmtId="0" fontId="18" fillId="9" borderId="1" xfId="0" applyFont="1" applyFill="1" applyBorder="1"/>
    <xf numFmtId="3" fontId="18" fillId="9" borderId="1" xfId="0" applyNumberFormat="1" applyFont="1" applyFill="1" applyBorder="1"/>
    <xf numFmtId="169" fontId="14" fillId="9" borderId="1" xfId="1" applyNumberFormat="1" applyFont="1" applyFill="1" applyBorder="1"/>
    <xf numFmtId="0" fontId="14" fillId="8" borderId="1" xfId="0" applyFont="1" applyFill="1" applyBorder="1"/>
    <xf numFmtId="3" fontId="14" fillId="8" borderId="1" xfId="0" applyNumberFormat="1" applyFont="1" applyFill="1" applyBorder="1"/>
    <xf numFmtId="17" fontId="13" fillId="6" borderId="1" xfId="0" applyNumberFormat="1" applyFont="1" applyFill="1" applyBorder="1" applyAlignment="1">
      <alignment horizontal="center" wrapText="1"/>
    </xf>
    <xf numFmtId="166" fontId="7" fillId="0" borderId="0" xfId="1" applyNumberFormat="1" applyFont="1"/>
    <xf numFmtId="166" fontId="12" fillId="0" borderId="0" xfId="1" applyNumberFormat="1" applyFont="1"/>
    <xf numFmtId="166" fontId="7" fillId="0" borderId="1" xfId="1" applyNumberFormat="1" applyFont="1" applyBorder="1"/>
    <xf numFmtId="166" fontId="0" fillId="0" borderId="1" xfId="1" applyNumberFormat="1" applyFont="1" applyBorder="1"/>
    <xf numFmtId="166" fontId="14" fillId="8" borderId="1" xfId="1" applyNumberFormat="1" applyFont="1" applyFill="1" applyBorder="1"/>
    <xf numFmtId="166" fontId="0" fillId="0" borderId="0" xfId="1" applyNumberFormat="1" applyFont="1"/>
    <xf numFmtId="166" fontId="0" fillId="10" borderId="0" xfId="1" applyNumberFormat="1" applyFont="1" applyFill="1"/>
    <xf numFmtId="3" fontId="0" fillId="0" borderId="0" xfId="0" applyNumberFormat="1"/>
    <xf numFmtId="3" fontId="0" fillId="11" borderId="0" xfId="0" applyNumberFormat="1" applyFill="1"/>
    <xf numFmtId="0" fontId="15" fillId="7" borderId="3" xfId="0" applyFont="1" applyFill="1" applyBorder="1"/>
    <xf numFmtId="169" fontId="15" fillId="7" borderId="3" xfId="0" applyNumberFormat="1" applyFont="1" applyFill="1" applyBorder="1"/>
    <xf numFmtId="0" fontId="0" fillId="0" borderId="1" xfId="0" applyBorder="1"/>
    <xf numFmtId="166" fontId="7" fillId="0" borderId="0" xfId="0" applyNumberFormat="1" applyFont="1"/>
    <xf numFmtId="3" fontId="19" fillId="0" borderId="1" xfId="0" applyNumberFormat="1" applyFont="1" applyBorder="1"/>
    <xf numFmtId="3" fontId="0" fillId="10" borderId="0" xfId="0" applyNumberFormat="1" applyFill="1"/>
    <xf numFmtId="166" fontId="0" fillId="0" borderId="0" xfId="0" applyNumberFormat="1"/>
    <xf numFmtId="166" fontId="7" fillId="0" borderId="1" xfId="1" applyNumberFormat="1" applyFont="1" applyFill="1" applyBorder="1"/>
    <xf numFmtId="166" fontId="7" fillId="0" borderId="0" xfId="0" applyNumberFormat="1" applyFont="1" applyFill="1"/>
    <xf numFmtId="166" fontId="23" fillId="0" borderId="0" xfId="1" applyNumberFormat="1" applyFont="1" applyFill="1"/>
    <xf numFmtId="166" fontId="14" fillId="0" borderId="1" xfId="1" applyNumberFormat="1" applyFont="1" applyBorder="1"/>
    <xf numFmtId="0" fontId="22" fillId="0" borderId="1" xfId="0" applyFont="1" applyBorder="1"/>
    <xf numFmtId="3" fontId="14" fillId="0" borderId="1" xfId="0" applyNumberFormat="1" applyFont="1" applyBorder="1"/>
    <xf numFmtId="10" fontId="13" fillId="6" borderId="1" xfId="2" applyNumberFormat="1" applyFont="1" applyFill="1" applyBorder="1" applyAlignment="1">
      <alignment vertical="center" wrapText="1"/>
    </xf>
    <xf numFmtId="10" fontId="13" fillId="4" borderId="1" xfId="2" applyNumberFormat="1" applyFont="1" applyFill="1" applyBorder="1" applyAlignment="1">
      <alignment vertical="center"/>
    </xf>
    <xf numFmtId="10" fontId="7" fillId="0" borderId="0" xfId="2" applyNumberFormat="1" applyFont="1" applyAlignment="1">
      <alignment vertical="center"/>
    </xf>
    <xf numFmtId="41" fontId="0" fillId="12" borderId="0" xfId="5" applyFont="1" applyFill="1"/>
    <xf numFmtId="169" fontId="7" fillId="0" borderId="1" xfId="1" applyNumberFormat="1" applyFont="1" applyBorder="1" applyAlignment="1">
      <alignment horizontal="left"/>
    </xf>
    <xf numFmtId="3" fontId="7" fillId="9" borderId="0" xfId="0" applyNumberFormat="1" applyFont="1" applyFill="1" applyBorder="1"/>
    <xf numFmtId="41" fontId="7" fillId="12" borderId="1" xfId="5" applyFont="1" applyFill="1" applyBorder="1"/>
    <xf numFmtId="0" fontId="0" fillId="0" borderId="1" xfId="0" applyFont="1" applyFill="1" applyBorder="1"/>
    <xf numFmtId="9" fontId="8" fillId="0" borderId="0" xfId="2" applyFont="1"/>
    <xf numFmtId="10" fontId="7" fillId="0" borderId="0" xfId="2" applyNumberFormat="1" applyFont="1"/>
    <xf numFmtId="170" fontId="7" fillId="0" borderId="0" xfId="2" applyNumberFormat="1" applyFont="1"/>
    <xf numFmtId="166" fontId="7" fillId="14" borderId="0" xfId="0" applyNumberFormat="1" applyFont="1" applyFill="1"/>
    <xf numFmtId="166" fontId="26" fillId="0" borderId="0" xfId="1" applyNumberFormat="1" applyFont="1"/>
    <xf numFmtId="41" fontId="24" fillId="12" borderId="0" xfId="5" applyFont="1" applyFill="1"/>
    <xf numFmtId="0" fontId="14" fillId="0" borderId="0" xfId="0" applyFont="1"/>
    <xf numFmtId="10" fontId="12" fillId="0" borderId="0" xfId="2" applyNumberFormat="1" applyFont="1"/>
    <xf numFmtId="10" fontId="7" fillId="0" borderId="0" xfId="2" applyNumberFormat="1" applyFont="1" applyAlignment="1">
      <alignment horizontal="center" vertical="center"/>
    </xf>
    <xf numFmtId="10" fontId="0" fillId="0" borderId="0" xfId="2" applyNumberFormat="1" applyFont="1"/>
    <xf numFmtId="10" fontId="7" fillId="12" borderId="1" xfId="2" applyNumberFormat="1" applyFont="1" applyFill="1" applyBorder="1"/>
    <xf numFmtId="10" fontId="27" fillId="0" borderId="0" xfId="2" applyNumberFormat="1" applyFont="1" applyAlignment="1">
      <alignment horizontal="center"/>
    </xf>
    <xf numFmtId="10" fontId="7" fillId="0" borderId="0" xfId="2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41" fontId="13" fillId="12" borderId="1" xfId="5" applyFont="1" applyFill="1" applyBorder="1" applyAlignment="1">
      <alignment horizontal="center" wrapText="1"/>
    </xf>
    <xf numFmtId="41" fontId="0" fillId="0" borderId="0" xfId="5" applyFont="1" applyFill="1"/>
    <xf numFmtId="41" fontId="24" fillId="0" borderId="0" xfId="5" applyFont="1" applyFill="1"/>
    <xf numFmtId="10" fontId="7" fillId="0" borderId="1" xfId="2" applyNumberFormat="1" applyFont="1" applyFill="1" applyBorder="1"/>
    <xf numFmtId="41" fontId="7" fillId="0" borderId="1" xfId="5" applyFont="1" applyFill="1" applyBorder="1"/>
    <xf numFmtId="41" fontId="7" fillId="0" borderId="0" xfId="5" applyFont="1" applyFill="1" applyBorder="1"/>
    <xf numFmtId="0" fontId="7" fillId="0" borderId="0" xfId="0" applyFont="1" applyFill="1"/>
    <xf numFmtId="0" fontId="15" fillId="7" borderId="1" xfId="0" applyNumberFormat="1" applyFont="1" applyFill="1" applyBorder="1"/>
    <xf numFmtId="0" fontId="13" fillId="0" borderId="0" xfId="0" applyFont="1" applyAlignment="1">
      <alignment horizontal="center"/>
    </xf>
    <xf numFmtId="17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1" fontId="7" fillId="0" borderId="0" xfId="0" applyNumberFormat="1" applyFont="1"/>
    <xf numFmtId="41" fontId="7" fillId="0" borderId="0" xfId="5" applyFont="1"/>
    <xf numFmtId="0" fontId="28" fillId="0" borderId="0" xfId="0" applyFont="1"/>
    <xf numFmtId="0" fontId="13" fillId="0" borderId="0" xfId="0" applyFont="1" applyAlignment="1">
      <alignment horizontal="center"/>
    </xf>
    <xf numFmtId="0" fontId="22" fillId="0" borderId="1" xfId="0" applyFont="1" applyFill="1" applyBorder="1"/>
    <xf numFmtId="0" fontId="0" fillId="0" borderId="1" xfId="0" applyFill="1" applyBorder="1"/>
    <xf numFmtId="41" fontId="0" fillId="0" borderId="1" xfId="5" applyFont="1" applyFill="1" applyBorder="1"/>
    <xf numFmtId="166" fontId="14" fillId="0" borderId="1" xfId="1" applyNumberFormat="1" applyFont="1" applyFill="1" applyBorder="1"/>
    <xf numFmtId="0" fontId="14" fillId="0" borderId="1" xfId="0" applyFont="1" applyFill="1" applyBorder="1"/>
    <xf numFmtId="41" fontId="22" fillId="0" borderId="1" xfId="5" applyFont="1" applyFill="1" applyBorder="1"/>
    <xf numFmtId="41" fontId="14" fillId="0" borderId="1" xfId="5" applyFont="1" applyFill="1" applyBorder="1"/>
    <xf numFmtId="41" fontId="14" fillId="0" borderId="1" xfId="0" applyNumberFormat="1" applyFont="1" applyFill="1" applyBorder="1"/>
    <xf numFmtId="166" fontId="1" fillId="0" borderId="1" xfId="1" applyNumberFormat="1" applyFont="1" applyFill="1" applyBorder="1"/>
    <xf numFmtId="3" fontId="14" fillId="0" borderId="1" xfId="0" applyNumberFormat="1" applyFont="1" applyFill="1" applyBorder="1"/>
    <xf numFmtId="166" fontId="13" fillId="4" borderId="1" xfId="1" applyNumberFormat="1" applyFont="1" applyFill="1" applyBorder="1" applyAlignment="1">
      <alignment horizontal="left"/>
    </xf>
    <xf numFmtId="166" fontId="15" fillId="7" borderId="1" xfId="1" applyNumberFormat="1" applyFont="1" applyFill="1" applyBorder="1"/>
    <xf numFmtId="166" fontId="19" fillId="0" borderId="1" xfId="1" applyNumberFormat="1" applyFont="1" applyBorder="1"/>
    <xf numFmtId="166" fontId="13" fillId="8" borderId="1" xfId="1" applyNumberFormat="1" applyFont="1" applyFill="1" applyBorder="1"/>
    <xf numFmtId="166" fontId="14" fillId="9" borderId="1" xfId="1" applyNumberFormat="1" applyFont="1" applyFill="1" applyBorder="1"/>
    <xf numFmtId="166" fontId="18" fillId="9" borderId="1" xfId="1" applyNumberFormat="1" applyFont="1" applyFill="1" applyBorder="1"/>
    <xf numFmtId="166" fontId="0" fillId="0" borderId="1" xfId="1" applyNumberFormat="1" applyFont="1" applyFill="1" applyBorder="1"/>
    <xf numFmtId="166" fontId="5" fillId="4" borderId="1" xfId="1" applyNumberFormat="1" applyFont="1" applyFill="1" applyBorder="1" applyAlignment="1">
      <alignment horizontal="left"/>
    </xf>
    <xf numFmtId="169" fontId="0" fillId="0" borderId="0" xfId="0" applyNumberFormat="1"/>
    <xf numFmtId="3" fontId="0" fillId="14" borderId="0" xfId="0" applyNumberFormat="1" applyFill="1"/>
    <xf numFmtId="3" fontId="0" fillId="4" borderId="0" xfId="0" applyNumberFormat="1" applyFill="1"/>
    <xf numFmtId="166" fontId="0" fillId="0" borderId="0" xfId="1" applyNumberFormat="1" applyFont="1" applyFill="1"/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1" fontId="0" fillId="0" borderId="0" xfId="2" applyNumberFormat="1" applyFont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30" fillId="7" borderId="1" xfId="0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41" fontId="0" fillId="0" borderId="0" xfId="0" applyNumberFormat="1"/>
    <xf numFmtId="0" fontId="0" fillId="0" borderId="0" xfId="0" applyBorder="1"/>
    <xf numFmtId="166" fontId="0" fillId="0" borderId="0" xfId="0" applyNumberFormat="1" applyBorder="1"/>
    <xf numFmtId="166" fontId="0" fillId="0" borderId="0" xfId="1" applyNumberFormat="1" applyFont="1" applyBorder="1"/>
    <xf numFmtId="164" fontId="29" fillId="0" borderId="0" xfId="0" applyNumberFormat="1" applyFont="1" applyBorder="1"/>
    <xf numFmtId="3" fontId="0" fillId="0" borderId="0" xfId="0" applyNumberFormat="1" applyBorder="1"/>
    <xf numFmtId="166" fontId="22" fillId="0" borderId="0" xfId="1" applyNumberFormat="1" applyFont="1" applyFill="1" applyBorder="1"/>
    <xf numFmtId="169" fontId="0" fillId="0" borderId="0" xfId="0" applyNumberFormat="1" applyBorder="1"/>
    <xf numFmtId="166" fontId="0" fillId="0" borderId="0" xfId="1" applyNumberFormat="1" applyFont="1" applyFill="1" applyBorder="1"/>
    <xf numFmtId="3" fontId="2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/>
    </xf>
    <xf numFmtId="9" fontId="13" fillId="4" borderId="1" xfId="2" applyFont="1" applyFill="1" applyBorder="1" applyAlignment="1">
      <alignment horizontal="right"/>
    </xf>
    <xf numFmtId="9" fontId="5" fillId="4" borderId="1" xfId="2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10" borderId="0" xfId="0" applyFill="1"/>
    <xf numFmtId="0" fontId="0" fillId="0" borderId="0" xfId="0" applyFill="1" applyBorder="1"/>
    <xf numFmtId="166" fontId="0" fillId="0" borderId="0" xfId="0" applyNumberFormat="1" applyFill="1"/>
    <xf numFmtId="9" fontId="15" fillId="7" borderId="1" xfId="2" applyFont="1" applyFill="1" applyBorder="1" applyAlignment="1">
      <alignment horizontal="right"/>
    </xf>
    <xf numFmtId="9" fontId="7" fillId="0" borderId="1" xfId="2" applyFont="1" applyBorder="1" applyAlignment="1">
      <alignment horizontal="right"/>
    </xf>
    <xf numFmtId="9" fontId="13" fillId="8" borderId="1" xfId="2" applyFont="1" applyFill="1" applyBorder="1" applyAlignment="1">
      <alignment horizontal="right"/>
    </xf>
    <xf numFmtId="9" fontId="14" fillId="9" borderId="1" xfId="2" applyFont="1" applyFill="1" applyBorder="1" applyAlignment="1">
      <alignment horizontal="right"/>
    </xf>
    <xf numFmtId="9" fontId="18" fillId="9" borderId="1" xfId="2" applyFont="1" applyFill="1" applyBorder="1" applyAlignment="1">
      <alignment horizontal="right"/>
    </xf>
    <xf numFmtId="9" fontId="14" fillId="0" borderId="1" xfId="2" applyFont="1" applyFill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9" fontId="0" fillId="0" borderId="1" xfId="2" applyFont="1" applyBorder="1" applyAlignment="1">
      <alignment horizontal="right"/>
    </xf>
    <xf numFmtId="9" fontId="14" fillId="8" borderId="1" xfId="2" applyFont="1" applyFill="1" applyBorder="1" applyAlignment="1">
      <alignment horizontal="right"/>
    </xf>
    <xf numFmtId="9" fontId="14" fillId="0" borderId="1" xfId="2" applyFont="1" applyBorder="1" applyAlignment="1">
      <alignment horizontal="right"/>
    </xf>
    <xf numFmtId="166" fontId="31" fillId="0" borderId="0" xfId="1" applyNumberFormat="1" applyFont="1"/>
    <xf numFmtId="166" fontId="29" fillId="0" borderId="0" xfId="0" applyNumberFormat="1" applyFont="1" applyBorder="1"/>
    <xf numFmtId="166" fontId="28" fillId="0" borderId="0" xfId="0" applyNumberFormat="1" applyFont="1"/>
    <xf numFmtId="0" fontId="13" fillId="0" borderId="0" xfId="0" applyFont="1" applyAlignment="1">
      <alignment horizontal="center"/>
    </xf>
    <xf numFmtId="9" fontId="7" fillId="15" borderId="1" xfId="2" applyFont="1" applyFill="1" applyBorder="1" applyAlignment="1">
      <alignment horizontal="right"/>
    </xf>
    <xf numFmtId="0" fontId="7" fillId="0" borderId="0" xfId="0" applyFont="1" applyFill="1" applyBorder="1"/>
    <xf numFmtId="0" fontId="0" fillId="13" borderId="0" xfId="0" applyFill="1"/>
    <xf numFmtId="3" fontId="0" fillId="0" borderId="0" xfId="0" applyNumberFormat="1" applyFill="1"/>
    <xf numFmtId="166" fontId="7" fillId="0" borderId="0" xfId="1" applyNumberFormat="1" applyFont="1" applyBorder="1"/>
    <xf numFmtId="165" fontId="0" fillId="0" borderId="0" xfId="1" applyFont="1" applyBorder="1"/>
    <xf numFmtId="3" fontId="0" fillId="0" borderId="0" xfId="0" applyNumberFormat="1"/>
    <xf numFmtId="171" fontId="0" fillId="0" borderId="0" xfId="2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left"/>
    </xf>
    <xf numFmtId="166" fontId="23" fillId="0" borderId="0" xfId="1" applyNumberFormat="1" applyFont="1" applyFill="1" applyBorder="1"/>
    <xf numFmtId="0" fontId="13" fillId="0" borderId="0" xfId="0" applyFont="1" applyAlignment="1">
      <alignment horizontal="center"/>
    </xf>
    <xf numFmtId="0" fontId="0" fillId="14" borderId="0" xfId="0" applyFill="1"/>
    <xf numFmtId="0" fontId="0" fillId="13" borderId="0" xfId="0" applyFill="1" applyAlignment="1">
      <alignment horizontal="left"/>
    </xf>
    <xf numFmtId="3" fontId="0" fillId="13" borderId="0" xfId="0" applyNumberFormat="1" applyFill="1"/>
    <xf numFmtId="0" fontId="0" fillId="0" borderId="0" xfId="0" applyFill="1"/>
    <xf numFmtId="0" fontId="0" fillId="0" borderId="0" xfId="0" applyFont="1" applyBorder="1"/>
    <xf numFmtId="0" fontId="0" fillId="4" borderId="0" xfId="0" applyFill="1"/>
    <xf numFmtId="0" fontId="0" fillId="10" borderId="0" xfId="0" applyFont="1" applyFill="1" applyBorder="1"/>
    <xf numFmtId="0" fontId="0" fillId="10" borderId="0" xfId="0" applyFill="1" applyBorder="1"/>
    <xf numFmtId="9" fontId="7" fillId="0" borderId="1" xfId="2" applyFont="1" applyFill="1" applyBorder="1" applyAlignment="1">
      <alignment horizontal="right"/>
    </xf>
    <xf numFmtId="9" fontId="15" fillId="47" borderId="1" xfId="2" applyFont="1" applyFill="1" applyBorder="1" applyAlignment="1">
      <alignment horizontal="right"/>
    </xf>
    <xf numFmtId="3" fontId="0" fillId="10" borderId="0" xfId="0" applyNumberFormat="1" applyFill="1" applyBorder="1"/>
    <xf numFmtId="0" fontId="0" fillId="14" borderId="0" xfId="0" applyFill="1" applyBorder="1"/>
    <xf numFmtId="3" fontId="31" fillId="0" borderId="0" xfId="0" applyNumberFormat="1" applyFont="1" applyFill="1"/>
    <xf numFmtId="0" fontId="7" fillId="14" borderId="0" xfId="0" applyFont="1" applyFill="1" applyBorder="1"/>
    <xf numFmtId="3" fontId="32" fillId="14" borderId="0" xfId="0" applyNumberFormat="1" applyFont="1" applyFill="1"/>
    <xf numFmtId="0" fontId="0" fillId="14" borderId="0" xfId="0" applyFill="1" applyAlignment="1">
      <alignment horizontal="left"/>
    </xf>
    <xf numFmtId="166" fontId="14" fillId="0" borderId="1" xfId="1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1" fontId="32" fillId="0" borderId="1" xfId="5" applyFont="1" applyFill="1" applyBorder="1"/>
    <xf numFmtId="166" fontId="32" fillId="0" borderId="1" xfId="1" applyNumberFormat="1" applyFont="1" applyFill="1" applyBorder="1"/>
    <xf numFmtId="0" fontId="13" fillId="0" borderId="0" xfId="0" applyFont="1" applyAlignment="1">
      <alignment horizontal="center"/>
    </xf>
    <xf numFmtId="169" fontId="0" fillId="0" borderId="0" xfId="0" applyNumberFormat="1" applyFill="1"/>
    <xf numFmtId="166" fontId="31" fillId="0" borderId="0" xfId="0" applyNumberFormat="1" applyFont="1" applyFill="1"/>
    <xf numFmtId="0" fontId="28" fillId="0" borderId="0" xfId="0" applyFont="1" applyFill="1"/>
    <xf numFmtId="0" fontId="32" fillId="0" borderId="1" xfId="0" applyFont="1" applyBorder="1"/>
    <xf numFmtId="169" fontId="48" fillId="4" borderId="1" xfId="0" applyNumberFormat="1" applyFont="1" applyFill="1" applyBorder="1" applyAlignment="1">
      <alignment horizontal="left"/>
    </xf>
    <xf numFmtId="169" fontId="13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/>
    <xf numFmtId="0" fontId="28" fillId="0" borderId="0" xfId="0" applyFont="1" applyFill="1" applyBorder="1"/>
    <xf numFmtId="9" fontId="13" fillId="6" borderId="1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4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5" builtinId="6"/>
    <cellStyle name="Millares [0] 2" xfId="47" xr:uid="{00000000-0005-0000-0000-000022000000}"/>
    <cellStyle name="Millares 2" xfId="4" xr:uid="{00000000-0005-0000-0000-000023000000}"/>
    <cellStyle name="Millares 2 2" xfId="54" xr:uid="{00000000-0005-0000-0000-000024000000}"/>
    <cellStyle name="Millares 2 3" xfId="58" xr:uid="{00000000-0005-0000-0000-000025000000}"/>
    <cellStyle name="Millares 2 4" xfId="61" xr:uid="{00000000-0005-0000-0000-000026000000}"/>
    <cellStyle name="Millares 3" xfId="50" xr:uid="{00000000-0005-0000-0000-000027000000}"/>
    <cellStyle name="Millares 4" xfId="48" xr:uid="{00000000-0005-0000-0000-000028000000}"/>
    <cellStyle name="Millares 5" xfId="57" xr:uid="{00000000-0005-0000-0000-000029000000}"/>
    <cellStyle name="Millares 6" xfId="60" xr:uid="{00000000-0005-0000-0000-00002A000000}"/>
    <cellStyle name="Millares 7" xfId="59" xr:uid="{00000000-0005-0000-0000-00002B000000}"/>
    <cellStyle name="Millares 8" xfId="62" xr:uid="{00000000-0005-0000-0000-00002C000000}"/>
    <cellStyle name="Millares 9" xfId="63" xr:uid="{00000000-0005-0000-0000-00002D000000}"/>
    <cellStyle name="Neutral" xfId="12" builtinId="28" customBuiltin="1"/>
    <cellStyle name="Normal" xfId="0" builtinId="0"/>
    <cellStyle name="Normal 2" xfId="3" xr:uid="{00000000-0005-0000-0000-000030000000}"/>
    <cellStyle name="Normal 2 2" xfId="55" xr:uid="{00000000-0005-0000-0000-000031000000}"/>
    <cellStyle name="Normal 3" xfId="51" xr:uid="{00000000-0005-0000-0000-000032000000}"/>
    <cellStyle name="Normal 4" xfId="49" xr:uid="{00000000-0005-0000-0000-000033000000}"/>
    <cellStyle name="Normal 41" xfId="46" xr:uid="{00000000-0005-0000-0000-000034000000}"/>
    <cellStyle name="Notas" xfId="19" builtinId="10" customBuiltin="1"/>
    <cellStyle name="Porcentaje" xfId="2" builtinId="5"/>
    <cellStyle name="Porcentaje 2" xfId="52" xr:uid="{00000000-0005-0000-0000-000037000000}"/>
    <cellStyle name="Porcentaje 3" xfId="53" xr:uid="{00000000-0005-0000-0000-000038000000}"/>
    <cellStyle name="Salida" xfId="14" builtinId="21" customBuiltin="1"/>
    <cellStyle name="Texto de advertencia" xfId="18" builtinId="11" customBuiltin="1"/>
    <cellStyle name="Texto explicativo" xfId="20" builtinId="53" customBuiltin="1"/>
    <cellStyle name="Título 2" xfId="7" builtinId="17" customBuiltin="1"/>
    <cellStyle name="Título 3" xfId="8" builtinId="18" customBuiltin="1"/>
    <cellStyle name="Título 4" xfId="56" xr:uid="{00000000-0005-0000-0000-00003E000000}"/>
    <cellStyle name="Total" xfId="21" builtinId="25" customBuiltin="1"/>
  </cellStyles>
  <dxfs count="0"/>
  <tableStyles count="0" defaultTableStyle="TableStyleMedium2" defaultPivotStyle="PivotStyleLight16"/>
  <colors>
    <mruColors>
      <color rgb="FF85F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workbookViewId="0">
      <selection activeCell="L17" sqref="L17"/>
    </sheetView>
  </sheetViews>
  <sheetFormatPr baseColWidth="10" defaultColWidth="9.140625" defaultRowHeight="15" x14ac:dyDescent="0.2"/>
  <cols>
    <col min="1" max="1" width="38.140625" style="1" bestFit="1" customWidth="1"/>
    <col min="2" max="2" width="17.5703125" style="1" hidden="1" customWidth="1"/>
    <col min="3" max="3" width="15.85546875" style="1" hidden="1" customWidth="1"/>
    <col min="4" max="4" width="13.42578125" style="2" hidden="1" customWidth="1"/>
    <col min="5" max="5" width="17.5703125" style="2" hidden="1" customWidth="1"/>
    <col min="6" max="6" width="18.140625" style="2" bestFit="1" customWidth="1"/>
    <col min="7" max="7" width="20.5703125" style="1" bestFit="1" customWidth="1"/>
    <col min="8" max="8" width="15.5703125" style="1" customWidth="1"/>
    <col min="9" max="9" width="22.42578125" style="1" customWidth="1"/>
    <col min="10" max="16384" width="9.140625" style="1"/>
  </cols>
  <sheetData>
    <row r="1" spans="1:9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</row>
    <row r="2" spans="1:9" ht="15.75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</row>
    <row r="3" spans="1:9" ht="19.5" customHeight="1" x14ac:dyDescent="0.25">
      <c r="A3" s="224" t="s">
        <v>150</v>
      </c>
      <c r="B3" s="224"/>
      <c r="C3" s="224"/>
      <c r="D3" s="224"/>
      <c r="E3" s="224"/>
      <c r="F3" s="224"/>
      <c r="G3" s="224"/>
      <c r="H3" s="224"/>
      <c r="I3" s="224"/>
    </row>
    <row r="4" spans="1:9" ht="69" x14ac:dyDescent="0.2">
      <c r="A4" s="21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22" t="s">
        <v>44</v>
      </c>
      <c r="G4" s="22" t="s">
        <v>45</v>
      </c>
      <c r="H4" s="22" t="s">
        <v>47</v>
      </c>
      <c r="I4" s="22" t="s">
        <v>46</v>
      </c>
    </row>
    <row r="5" spans="1:9" ht="17.25" customHeight="1" x14ac:dyDescent="0.2">
      <c r="A5" s="23" t="s">
        <v>7</v>
      </c>
      <c r="B5" s="24">
        <f t="shared" ref="B5:F5" si="0">+B6+B15+B16</f>
        <v>1226657.5117229999</v>
      </c>
      <c r="C5" s="24">
        <f>+C6+C15+C16</f>
        <v>1312588.7966799999</v>
      </c>
      <c r="D5" s="24">
        <f t="shared" si="0"/>
        <v>1022003.8098550801</v>
      </c>
      <c r="E5" s="24">
        <f t="shared" si="0"/>
        <v>1362671.74647344</v>
      </c>
      <c r="F5" s="24">
        <f t="shared" si="0"/>
        <v>1462553.8667491539</v>
      </c>
      <c r="G5" s="24">
        <f t="shared" ref="G5:H5" si="1">+G6+G15+G16</f>
        <v>2558.6219242923689</v>
      </c>
      <c r="H5" s="24">
        <f t="shared" si="1"/>
        <v>1465112.4886734462</v>
      </c>
      <c r="I5" s="24">
        <f t="shared" ref="I5" si="2">+I6+I15+I16</f>
        <v>1465112488673.4463</v>
      </c>
    </row>
    <row r="6" spans="1:9" ht="17.25" customHeight="1" x14ac:dyDescent="0.2">
      <c r="A6" s="5" t="s">
        <v>8</v>
      </c>
      <c r="B6" s="6">
        <f t="shared" ref="B6:F6" si="3">SUM(B7:B14)</f>
        <v>1123908.7404719999</v>
      </c>
      <c r="C6" s="6">
        <f>SUM(C7:C14)</f>
        <v>1266879.6180809999</v>
      </c>
      <c r="D6" s="6">
        <f t="shared" si="3"/>
        <v>938539.26919700007</v>
      </c>
      <c r="E6" s="6">
        <f t="shared" si="3"/>
        <v>1251385.6922626665</v>
      </c>
      <c r="F6" s="6">
        <f t="shared" si="3"/>
        <v>1392735.6680000001</v>
      </c>
      <c r="G6" s="6">
        <f t="shared" ref="G6:H6" si="4">SUM(G7:G14)</f>
        <v>2558.6219242923689</v>
      </c>
      <c r="H6" s="6">
        <f t="shared" si="4"/>
        <v>1395294.2899242924</v>
      </c>
      <c r="I6" s="6">
        <f t="shared" ref="I6" si="5">SUM(I7:I14)</f>
        <v>1395294289924.2925</v>
      </c>
    </row>
    <row r="7" spans="1:9" x14ac:dyDescent="0.2">
      <c r="A7" s="8" t="s">
        <v>9</v>
      </c>
      <c r="B7" s="9">
        <v>1087684.191507</v>
      </c>
      <c r="C7" s="10">
        <f>1187844.331065</f>
        <v>1187844.331065</v>
      </c>
      <c r="D7" s="10">
        <f>917434.402624</f>
        <v>917434.40262399998</v>
      </c>
      <c r="E7" s="11">
        <f>+(D7/9*12)</f>
        <v>1223245.8701653332</v>
      </c>
      <c r="F7" s="12">
        <v>1332893.071</v>
      </c>
      <c r="G7" s="12">
        <v>2482.1097970099654</v>
      </c>
      <c r="H7" s="12">
        <f>F7+G7</f>
        <v>1335375.18079701</v>
      </c>
      <c r="I7" s="12">
        <f>H7*1000000</f>
        <v>1335375180797.01</v>
      </c>
    </row>
    <row r="8" spans="1:9" x14ac:dyDescent="0.2">
      <c r="A8" s="13" t="s">
        <v>10</v>
      </c>
      <c r="B8" s="11">
        <v>7548.4124730000003</v>
      </c>
      <c r="C8" s="10">
        <f>39450.550813</f>
        <v>39450.550813000002</v>
      </c>
      <c r="D8" s="10">
        <f>17766.992985</f>
        <v>17766.992985000001</v>
      </c>
      <c r="E8" s="11">
        <f>+(D8/9*12)</f>
        <v>23689.323980000001</v>
      </c>
      <c r="F8" s="12">
        <v>41086.864000000001</v>
      </c>
      <c r="G8" s="12">
        <v>76.512127282403526</v>
      </c>
      <c r="H8" s="12">
        <f t="shared" ref="H8:H18" si="6">F8+G8</f>
        <v>41163.376127282405</v>
      </c>
      <c r="I8" s="12">
        <f t="shared" ref="I8:I18" si="7">H8*1000000</f>
        <v>41163376127.282402</v>
      </c>
    </row>
    <row r="9" spans="1:9" x14ac:dyDescent="0.2">
      <c r="A9" s="8" t="s">
        <v>11</v>
      </c>
      <c r="B9" s="9">
        <v>3752.7036499999999</v>
      </c>
      <c r="C9" s="10">
        <f>4689.24535</f>
        <v>4689.2453500000001</v>
      </c>
      <c r="D9" s="10">
        <f>2464.682416</f>
        <v>2464.6824160000001</v>
      </c>
      <c r="E9" s="11">
        <f>+(D9/9*12)</f>
        <v>3286.2432213333332</v>
      </c>
      <c r="F9" s="12">
        <v>4155.7089999999998</v>
      </c>
      <c r="G9" s="12"/>
      <c r="H9" s="12">
        <f t="shared" si="6"/>
        <v>4155.7089999999998</v>
      </c>
      <c r="I9" s="12">
        <f t="shared" si="7"/>
        <v>4155709000</v>
      </c>
    </row>
    <row r="10" spans="1:9" x14ac:dyDescent="0.2">
      <c r="A10" s="8" t="s">
        <v>12</v>
      </c>
      <c r="B10" s="9">
        <v>0</v>
      </c>
      <c r="C10" s="10">
        <v>0</v>
      </c>
      <c r="D10" s="10">
        <v>0</v>
      </c>
      <c r="E10" s="10">
        <v>0</v>
      </c>
      <c r="F10" s="12">
        <v>977.63900000000001</v>
      </c>
      <c r="G10" s="12"/>
      <c r="H10" s="12">
        <f t="shared" si="6"/>
        <v>977.63900000000001</v>
      </c>
      <c r="I10" s="12">
        <f t="shared" si="7"/>
        <v>977639000</v>
      </c>
    </row>
    <row r="11" spans="1:9" x14ac:dyDescent="0.2">
      <c r="A11" s="8" t="s">
        <v>13</v>
      </c>
      <c r="B11" s="9">
        <v>0</v>
      </c>
      <c r="C11" s="10">
        <v>0</v>
      </c>
      <c r="D11" s="10">
        <v>0</v>
      </c>
      <c r="E11" s="10">
        <v>0</v>
      </c>
      <c r="F11" s="12">
        <v>83.864999999999995</v>
      </c>
      <c r="G11" s="12"/>
      <c r="H11" s="12">
        <f t="shared" si="6"/>
        <v>83.864999999999995</v>
      </c>
      <c r="I11" s="12">
        <f t="shared" si="7"/>
        <v>83865000</v>
      </c>
    </row>
    <row r="12" spans="1:9" x14ac:dyDescent="0.2">
      <c r="A12" s="8" t="s">
        <v>14</v>
      </c>
      <c r="B12" s="9">
        <v>0</v>
      </c>
      <c r="C12" s="10">
        <v>0</v>
      </c>
      <c r="D12" s="10">
        <v>0</v>
      </c>
      <c r="E12" s="10">
        <v>0</v>
      </c>
      <c r="F12" s="12">
        <v>126.729</v>
      </c>
      <c r="G12" s="12"/>
      <c r="H12" s="12">
        <f t="shared" si="6"/>
        <v>126.729</v>
      </c>
      <c r="I12" s="12">
        <f t="shared" si="7"/>
        <v>126729000</v>
      </c>
    </row>
    <row r="13" spans="1:9" x14ac:dyDescent="0.2">
      <c r="A13" s="8" t="s">
        <v>15</v>
      </c>
      <c r="B13" s="9">
        <v>6537.4087449999997</v>
      </c>
      <c r="C13" s="10">
        <f>4012.879013</f>
        <v>4012.8790130000002</v>
      </c>
      <c r="D13" s="10">
        <f>851.55182</f>
        <v>851.55182000000002</v>
      </c>
      <c r="E13" s="11">
        <f>+(D13/9*12)</f>
        <v>1135.4024266666665</v>
      </c>
      <c r="F13" s="12">
        <v>8411.7909999999993</v>
      </c>
      <c r="G13" s="12"/>
      <c r="H13" s="12">
        <f t="shared" si="6"/>
        <v>8411.7909999999993</v>
      </c>
      <c r="I13" s="12">
        <f t="shared" si="7"/>
        <v>8411790999.999999</v>
      </c>
    </row>
    <row r="14" spans="1:9" x14ac:dyDescent="0.2">
      <c r="A14" s="8" t="s">
        <v>16</v>
      </c>
      <c r="B14" s="9">
        <v>18386.024097000001</v>
      </c>
      <c r="C14" s="10">
        <f>30882.61184</f>
        <v>30882.611840000001</v>
      </c>
      <c r="D14" s="10">
        <f>21.639352</f>
        <v>21.639351999999999</v>
      </c>
      <c r="E14" s="11">
        <f>+(D14/9*12)</f>
        <v>28.852469333333332</v>
      </c>
      <c r="F14" s="12">
        <v>5000</v>
      </c>
      <c r="G14" s="12"/>
      <c r="H14" s="12">
        <f t="shared" si="6"/>
        <v>5000</v>
      </c>
      <c r="I14" s="12">
        <f>H14*1000000</f>
        <v>5000000000</v>
      </c>
    </row>
    <row r="15" spans="1:9" ht="15.75" x14ac:dyDescent="0.2">
      <c r="A15" s="5" t="s">
        <v>17</v>
      </c>
      <c r="B15" s="14">
        <v>66516.738482000001</v>
      </c>
      <c r="C15" s="6">
        <f>43294.519255</f>
        <v>43294.519254999999</v>
      </c>
      <c r="D15" s="6">
        <f>48794.427621</f>
        <v>48794.427621000003</v>
      </c>
      <c r="E15" s="6">
        <f>+(D15/9*12)</f>
        <v>65059.236828000008</v>
      </c>
      <c r="F15" s="6">
        <v>65857.5000082076</v>
      </c>
      <c r="G15" s="6"/>
      <c r="H15" s="6">
        <f t="shared" si="6"/>
        <v>65857.5000082076</v>
      </c>
      <c r="I15" s="6">
        <f>H15*1000000</f>
        <v>65857500008.207603</v>
      </c>
    </row>
    <row r="16" spans="1:9" ht="15.75" x14ac:dyDescent="0.2">
      <c r="A16" s="5" t="s">
        <v>49</v>
      </c>
      <c r="B16" s="6">
        <f t="shared" ref="B16:E16" si="8">SUM(B17+B18)</f>
        <v>36232.032768999998</v>
      </c>
      <c r="C16" s="6">
        <f>SUM(C17+C18)</f>
        <v>2414.6593440000001</v>
      </c>
      <c r="D16" s="6">
        <f t="shared" si="8"/>
        <v>34670.113037080002</v>
      </c>
      <c r="E16" s="6">
        <f t="shared" si="8"/>
        <v>46226.817382773334</v>
      </c>
      <c r="F16" s="6">
        <f>SUM(F17+F18)</f>
        <v>3960.6987409464</v>
      </c>
      <c r="G16" s="6">
        <f t="shared" ref="G16:H16" si="9">SUM(G17+G18)</f>
        <v>0</v>
      </c>
      <c r="H16" s="6">
        <f t="shared" si="9"/>
        <v>3960.6987409464</v>
      </c>
      <c r="I16" s="6">
        <f>SUM(I17+I18)</f>
        <v>3960698740.9464002</v>
      </c>
    </row>
    <row r="17" spans="1:9" x14ac:dyDescent="0.2">
      <c r="A17" s="8" t="s">
        <v>18</v>
      </c>
      <c r="B17" s="9">
        <v>3519.5089269999999</v>
      </c>
      <c r="C17" s="10">
        <f>2414.659344</f>
        <v>2414.6593440000001</v>
      </c>
      <c r="D17" s="10">
        <v>20097.029353080001</v>
      </c>
      <c r="E17" s="11">
        <f>+(D17/9*12)</f>
        <v>26796.039137439999</v>
      </c>
      <c r="F17" s="12">
        <v>3960.6987409464</v>
      </c>
      <c r="G17" s="12"/>
      <c r="H17" s="20">
        <f t="shared" si="6"/>
        <v>3960.6987409464</v>
      </c>
      <c r="I17" s="12">
        <f t="shared" si="7"/>
        <v>3960698740.9464002</v>
      </c>
    </row>
    <row r="18" spans="1:9" ht="15.75" x14ac:dyDescent="0.2">
      <c r="A18" s="8" t="s">
        <v>19</v>
      </c>
      <c r="B18" s="9">
        <v>32712.523841999999</v>
      </c>
      <c r="C18" s="10">
        <v>0</v>
      </c>
      <c r="D18" s="10">
        <f>14573.083684</f>
        <v>14573.083683999999</v>
      </c>
      <c r="E18" s="11">
        <f>+(D18/9*12)</f>
        <v>19430.778245333335</v>
      </c>
      <c r="F18" s="11">
        <v>0</v>
      </c>
      <c r="G18" s="11"/>
      <c r="H18" s="6">
        <f t="shared" si="6"/>
        <v>0</v>
      </c>
      <c r="I18" s="12">
        <f t="shared" si="7"/>
        <v>0</v>
      </c>
    </row>
    <row r="19" spans="1:9" ht="12.95" customHeight="1" x14ac:dyDescent="0.2">
      <c r="A19" s="8"/>
      <c r="B19" s="9"/>
      <c r="C19" s="10"/>
      <c r="D19" s="10"/>
      <c r="E19" s="11"/>
      <c r="F19" s="11"/>
      <c r="G19" s="7"/>
    </row>
    <row r="20" spans="1:9" ht="15.75" customHeight="1" x14ac:dyDescent="0.2">
      <c r="A20" s="23" t="s">
        <v>31</v>
      </c>
      <c r="B20" s="24"/>
      <c r="C20" s="24"/>
      <c r="D20" s="24"/>
      <c r="E20" s="24"/>
      <c r="F20" s="24">
        <f>F21+F33+F43</f>
        <v>1523062.9721324106</v>
      </c>
      <c r="G20" s="24">
        <f t="shared" ref="G20:I20" si="10">G21+G33+G43</f>
        <v>2558.6219242922816</v>
      </c>
      <c r="H20" s="24">
        <f t="shared" si="10"/>
        <v>1525621.5940567029</v>
      </c>
      <c r="I20" s="24">
        <f t="shared" si="10"/>
        <v>1525621594056.7031</v>
      </c>
    </row>
    <row r="21" spans="1:9" ht="15.75" x14ac:dyDescent="0.2">
      <c r="A21" s="5" t="s">
        <v>50</v>
      </c>
      <c r="B21" s="6">
        <f>SUM(B22:B32)</f>
        <v>1258660.3614369999</v>
      </c>
      <c r="C21" s="6">
        <f>SUM(C22:C32)</f>
        <v>1282098.9996379998</v>
      </c>
      <c r="D21" s="6">
        <f>SUM(D22:D32)</f>
        <v>1040967.6741189999</v>
      </c>
      <c r="E21" s="6">
        <f>SUM(E22:E32)</f>
        <v>1387956.8988253337</v>
      </c>
      <c r="F21" s="6">
        <f>SUM(F22:F32)</f>
        <v>1422388.6962737208</v>
      </c>
      <c r="G21" s="6">
        <f t="shared" ref="G21:I21" si="11">SUM(G22:G32)</f>
        <v>2558.6219242922816</v>
      </c>
      <c r="H21" s="6">
        <f t="shared" si="11"/>
        <v>1424947.3181980131</v>
      </c>
      <c r="I21" s="6">
        <f t="shared" si="11"/>
        <v>1424947318198.0132</v>
      </c>
    </row>
    <row r="22" spans="1:9" s="16" customFormat="1" ht="15.75" x14ac:dyDescent="0.25">
      <c r="A22" s="8" t="s">
        <v>20</v>
      </c>
      <c r="B22" s="9">
        <v>301424.58662700001</v>
      </c>
      <c r="C22" s="10">
        <f>312610.0691</f>
        <v>312610.06910000002</v>
      </c>
      <c r="D22" s="10">
        <f>236622.758745</f>
        <v>236622.758745</v>
      </c>
      <c r="E22" s="11">
        <f t="shared" ref="E22:E29" si="12">+(D22/9*12)</f>
        <v>315497.01165999996</v>
      </c>
      <c r="F22" s="15">
        <v>316344.98054199602</v>
      </c>
      <c r="G22" s="15"/>
      <c r="H22" s="15">
        <f>F22+G22</f>
        <v>316344.98054199602</v>
      </c>
      <c r="I22" s="15">
        <f>H22*1000000</f>
        <v>316344980541.99603</v>
      </c>
    </row>
    <row r="23" spans="1:9" s="16" customFormat="1" ht="15.75" x14ac:dyDescent="0.25">
      <c r="A23" s="8" t="s">
        <v>21</v>
      </c>
      <c r="B23" s="9">
        <v>2739.8023929999999</v>
      </c>
      <c r="C23" s="10">
        <v>0</v>
      </c>
      <c r="D23" s="10">
        <f>3484.929324</f>
        <v>3484.9293240000002</v>
      </c>
      <c r="E23" s="11">
        <f t="shared" si="12"/>
        <v>4646.5724320000008</v>
      </c>
      <c r="F23" s="15">
        <v>7076.2179351171699</v>
      </c>
      <c r="G23" s="15"/>
      <c r="H23" s="15">
        <f t="shared" ref="H23:H32" si="13">F23+G23</f>
        <v>7076.2179351171699</v>
      </c>
      <c r="I23" s="15">
        <f t="shared" ref="I23:I32" si="14">H23*1000000</f>
        <v>7076217935.1171703</v>
      </c>
    </row>
    <row r="24" spans="1:9" s="16" customFormat="1" ht="15.75" x14ac:dyDescent="0.25">
      <c r="A24" s="8" t="s">
        <v>22</v>
      </c>
      <c r="B24" s="9">
        <v>37230.501856000003</v>
      </c>
      <c r="C24" s="10">
        <f>51501.764655</f>
        <v>51501.764654999999</v>
      </c>
      <c r="D24" s="10">
        <f>34236.704755</f>
        <v>34236.704754999999</v>
      </c>
      <c r="E24" s="11">
        <f t="shared" si="12"/>
        <v>45648.939673333334</v>
      </c>
      <c r="F24" s="15">
        <v>44159.751569160602</v>
      </c>
      <c r="G24" s="15"/>
      <c r="H24" s="15">
        <f t="shared" si="13"/>
        <v>44159.751569160602</v>
      </c>
      <c r="I24" s="15">
        <f t="shared" si="14"/>
        <v>44159751569.160599</v>
      </c>
    </row>
    <row r="25" spans="1:9" s="16" customFormat="1" ht="15.75" x14ac:dyDescent="0.25">
      <c r="A25" s="8" t="s">
        <v>23</v>
      </c>
      <c r="B25" s="9">
        <v>38345.527185999999</v>
      </c>
      <c r="C25" s="10">
        <f>61336.582244</f>
        <v>61336.582243999997</v>
      </c>
      <c r="D25" s="10">
        <f>27698.244224</f>
        <v>27698.244223999998</v>
      </c>
      <c r="E25" s="11">
        <f t="shared" si="12"/>
        <v>36930.992298666664</v>
      </c>
      <c r="F25" s="15">
        <v>43322.216139115801</v>
      </c>
      <c r="G25" s="15">
        <v>767.58657728768594</v>
      </c>
      <c r="H25" s="15">
        <f t="shared" si="13"/>
        <v>44089.802716403487</v>
      </c>
      <c r="I25" s="15">
        <f t="shared" si="14"/>
        <v>44089802716.403488</v>
      </c>
    </row>
    <row r="26" spans="1:9" s="16" customFormat="1" ht="15.75" x14ac:dyDescent="0.25">
      <c r="A26" s="8" t="s">
        <v>24</v>
      </c>
      <c r="B26" s="9">
        <v>413164.90098600002</v>
      </c>
      <c r="C26" s="10">
        <f>469726.6012</f>
        <v>469726.60119999998</v>
      </c>
      <c r="D26" s="10">
        <f>398148.335275</f>
        <v>398148.33527500002</v>
      </c>
      <c r="E26" s="11">
        <f t="shared" si="12"/>
        <v>530864.44703333336</v>
      </c>
      <c r="F26" s="15">
        <v>566662.85824579198</v>
      </c>
      <c r="G26" s="15"/>
      <c r="H26" s="15">
        <f t="shared" si="13"/>
        <v>566662.85824579198</v>
      </c>
      <c r="I26" s="15">
        <f t="shared" si="14"/>
        <v>566662858245.79199</v>
      </c>
    </row>
    <row r="27" spans="1:9" s="16" customFormat="1" ht="15.75" x14ac:dyDescent="0.25">
      <c r="A27" s="8" t="s">
        <v>25</v>
      </c>
      <c r="B27" s="9">
        <v>273399.64273600001</v>
      </c>
      <c r="C27" s="10">
        <f>307900.305968</f>
        <v>307900.30596799997</v>
      </c>
      <c r="D27" s="10">
        <f>248386.992071</f>
        <v>248386.99207099999</v>
      </c>
      <c r="E27" s="11">
        <f t="shared" si="12"/>
        <v>331182.65609466669</v>
      </c>
      <c r="F27" s="15">
        <v>350112.17508872901</v>
      </c>
      <c r="G27" s="15">
        <v>1791.0353470045957</v>
      </c>
      <c r="H27" s="15">
        <f t="shared" si="13"/>
        <v>351903.21043573361</v>
      </c>
      <c r="I27" s="15">
        <f t="shared" si="14"/>
        <v>351903210435.73358</v>
      </c>
    </row>
    <row r="28" spans="1:9" s="16" customFormat="1" ht="15.75" x14ac:dyDescent="0.25">
      <c r="A28" s="8" t="s">
        <v>26</v>
      </c>
      <c r="B28" s="9">
        <v>16936.804384999999</v>
      </c>
      <c r="C28" s="10">
        <f>11654.059161</f>
        <v>11654.059160999999</v>
      </c>
      <c r="D28" s="10">
        <f>16022.957479</f>
        <v>16022.957479000001</v>
      </c>
      <c r="E28" s="11">
        <f t="shared" si="12"/>
        <v>21363.943305333334</v>
      </c>
      <c r="F28" s="15">
        <v>24469.500601719701</v>
      </c>
      <c r="G28" s="15"/>
      <c r="H28" s="15">
        <f t="shared" si="13"/>
        <v>24469.500601719701</v>
      </c>
      <c r="I28" s="15">
        <f t="shared" si="14"/>
        <v>24469500601.7197</v>
      </c>
    </row>
    <row r="29" spans="1:9" s="16" customFormat="1" ht="15.75" x14ac:dyDescent="0.25">
      <c r="A29" s="8" t="s">
        <v>27</v>
      </c>
      <c r="B29" s="9">
        <v>83179.903552000003</v>
      </c>
      <c r="C29" s="10">
        <f>56436.150953</f>
        <v>56436.150952999997</v>
      </c>
      <c r="D29" s="10">
        <f>44166.42186</f>
        <v>44166.421860000002</v>
      </c>
      <c r="E29" s="11">
        <f t="shared" si="12"/>
        <v>58888.562480000001</v>
      </c>
      <c r="F29" s="15">
        <v>65857.5000082076</v>
      </c>
      <c r="G29" s="15"/>
      <c r="H29" s="15">
        <f t="shared" si="13"/>
        <v>65857.5000082076</v>
      </c>
      <c r="I29" s="15">
        <f t="shared" si="14"/>
        <v>65857500008.207603</v>
      </c>
    </row>
    <row r="30" spans="1:9" s="16" customFormat="1" ht="15.75" x14ac:dyDescent="0.25">
      <c r="A30" s="8" t="s">
        <v>28</v>
      </c>
      <c r="B30" s="9">
        <v>20.518643000000001</v>
      </c>
      <c r="C30" s="10">
        <v>0</v>
      </c>
      <c r="D30" s="10">
        <v>0</v>
      </c>
      <c r="E30" s="10">
        <v>0</v>
      </c>
      <c r="F30" s="10">
        <v>0</v>
      </c>
      <c r="G30" s="10"/>
      <c r="H30" s="15">
        <f t="shared" si="13"/>
        <v>0</v>
      </c>
      <c r="I30" s="15">
        <f t="shared" si="14"/>
        <v>0</v>
      </c>
    </row>
    <row r="31" spans="1:9" s="16" customFormat="1" ht="15.75" x14ac:dyDescent="0.25">
      <c r="A31" s="8" t="s">
        <v>29</v>
      </c>
      <c r="B31" s="9">
        <v>92218.173072999998</v>
      </c>
      <c r="C31" s="10">
        <f>10933.466357</f>
        <v>10933.466356999999</v>
      </c>
      <c r="D31" s="10">
        <f>32145.068718</f>
        <v>32145.068717999999</v>
      </c>
      <c r="E31" s="11">
        <f>+(D31/9*12)</f>
        <v>42860.091624000001</v>
      </c>
      <c r="F31" s="15">
        <v>4305.4961438829996</v>
      </c>
      <c r="G31" s="15"/>
      <c r="H31" s="15">
        <f t="shared" si="13"/>
        <v>4305.4961438829996</v>
      </c>
      <c r="I31" s="15">
        <f t="shared" si="14"/>
        <v>4305496143.8829994</v>
      </c>
    </row>
    <row r="32" spans="1:9" s="16" customFormat="1" ht="15.75" x14ac:dyDescent="0.25">
      <c r="A32" s="8" t="s">
        <v>30</v>
      </c>
      <c r="B32" s="9"/>
      <c r="C32" s="10">
        <v>0</v>
      </c>
      <c r="D32" s="10">
        <f>55.261668</f>
        <v>55.261668</v>
      </c>
      <c r="E32" s="11">
        <f>+(D32/9*12)</f>
        <v>73.682223999999991</v>
      </c>
      <c r="F32" s="15">
        <v>78</v>
      </c>
      <c r="G32" s="15"/>
      <c r="H32" s="15">
        <f t="shared" si="13"/>
        <v>78</v>
      </c>
      <c r="I32" s="15">
        <f t="shared" si="14"/>
        <v>78000000</v>
      </c>
    </row>
    <row r="33" spans="1:11" ht="15.75" x14ac:dyDescent="0.2">
      <c r="A33" s="5" t="s">
        <v>51</v>
      </c>
      <c r="B33" s="6">
        <f>+B34+B38</f>
        <v>58673.101739999998</v>
      </c>
      <c r="C33" s="6">
        <f t="shared" ref="C33:E33" si="15">+C34+C38</f>
        <v>63707.073197665566</v>
      </c>
      <c r="D33" s="6">
        <f t="shared" si="15"/>
        <v>49675.748264000002</v>
      </c>
      <c r="E33" s="6">
        <f t="shared" si="15"/>
        <v>66234.331018666679</v>
      </c>
      <c r="F33" s="6">
        <f>F34+F38</f>
        <v>72931.366966589718</v>
      </c>
      <c r="G33" s="6">
        <f t="shared" ref="G33:I33" si="16">+G34+G38</f>
        <v>0</v>
      </c>
      <c r="H33" s="6">
        <f t="shared" si="16"/>
        <v>72931.366966589718</v>
      </c>
      <c r="I33" s="6">
        <f t="shared" si="16"/>
        <v>72931366966.589722</v>
      </c>
    </row>
    <row r="34" spans="1:11" ht="15.75" x14ac:dyDescent="0.25">
      <c r="A34" s="26" t="s">
        <v>32</v>
      </c>
      <c r="B34" s="17">
        <f>+B35+B36+B37</f>
        <v>14108.681778</v>
      </c>
      <c r="C34" s="17">
        <f>+C35+C36+C37</f>
        <v>32627.535667999997</v>
      </c>
      <c r="D34" s="17">
        <f>+D35+D36+D37</f>
        <v>20430.867482000001</v>
      </c>
      <c r="E34" s="17">
        <f>+E35+E36+E37</f>
        <v>27241.156642666669</v>
      </c>
      <c r="F34" s="17">
        <f>+F35+F36+F37</f>
        <v>32698.726613300416</v>
      </c>
      <c r="G34" s="17">
        <f t="shared" ref="G34:I34" si="17">+G35+G36+G37</f>
        <v>0</v>
      </c>
      <c r="H34" s="17">
        <f t="shared" si="17"/>
        <v>32698.726613300416</v>
      </c>
      <c r="I34" s="17">
        <f t="shared" si="17"/>
        <v>32698726613.300419</v>
      </c>
    </row>
    <row r="35" spans="1:11" ht="30" x14ac:dyDescent="0.2">
      <c r="A35" s="18" t="s">
        <v>33</v>
      </c>
      <c r="B35" s="11">
        <v>8224.0622270000003</v>
      </c>
      <c r="C35" s="11">
        <v>15196.804423254462</v>
      </c>
      <c r="D35" s="11">
        <v>9516.0082110000003</v>
      </c>
      <c r="E35" s="11">
        <f>+D35/9*12</f>
        <v>12688.010947999999</v>
      </c>
      <c r="F35" s="11">
        <v>21787.953890359298</v>
      </c>
      <c r="G35" s="11"/>
      <c r="H35" s="11">
        <f>F35+G35</f>
        <v>21787.953890359298</v>
      </c>
      <c r="I35" s="11">
        <f>H35*1000000</f>
        <v>21787953890.359299</v>
      </c>
      <c r="J35" s="19"/>
      <c r="K35" s="19"/>
    </row>
    <row r="36" spans="1:11" x14ac:dyDescent="0.2">
      <c r="A36" s="18" t="s">
        <v>34</v>
      </c>
      <c r="B36" s="11">
        <v>5884.6195509999998</v>
      </c>
      <c r="C36" s="11">
        <v>13756.196059461876</v>
      </c>
      <c r="D36" s="11">
        <v>8613.9211250000008</v>
      </c>
      <c r="E36" s="11">
        <f t="shared" ref="E36:E37" si="18">+D36/9*12</f>
        <v>11485.228166666668</v>
      </c>
      <c r="F36" s="11">
        <v>3847.7606648435399</v>
      </c>
      <c r="G36" s="11"/>
      <c r="H36" s="11">
        <f t="shared" ref="H36:H40" si="19">F36+G36</f>
        <v>3847.7606648435399</v>
      </c>
      <c r="I36" s="11">
        <f t="shared" ref="I36:I37" si="20">H36*1000000</f>
        <v>3847760664.8435397</v>
      </c>
      <c r="J36" s="19"/>
      <c r="K36" s="19"/>
    </row>
    <row r="37" spans="1:11" x14ac:dyDescent="0.2">
      <c r="A37" s="18" t="s">
        <v>35</v>
      </c>
      <c r="B37" s="11">
        <v>0</v>
      </c>
      <c r="C37" s="11">
        <v>3674.5351852836607</v>
      </c>
      <c r="D37" s="11">
        <v>2300.938146</v>
      </c>
      <c r="E37" s="11">
        <f t="shared" si="18"/>
        <v>3067.9175279999999</v>
      </c>
      <c r="F37" s="11">
        <v>7063.0120580975799</v>
      </c>
      <c r="G37" s="11"/>
      <c r="H37" s="11">
        <f t="shared" si="19"/>
        <v>7063.0120580975799</v>
      </c>
      <c r="I37" s="11">
        <f t="shared" si="20"/>
        <v>7063012058.09758</v>
      </c>
      <c r="J37" s="19"/>
      <c r="K37" s="19"/>
    </row>
    <row r="38" spans="1:11" ht="15.75" x14ac:dyDescent="0.25">
      <c r="A38" s="26" t="s">
        <v>36</v>
      </c>
      <c r="B38" s="17">
        <f>+B39+B40</f>
        <v>44564.419962</v>
      </c>
      <c r="C38" s="17">
        <f t="shared" ref="C38:E38" si="21">+C39+C40</f>
        <v>31079.537529665569</v>
      </c>
      <c r="D38" s="17">
        <f t="shared" si="21"/>
        <v>29244.880782</v>
      </c>
      <c r="E38" s="17">
        <f t="shared" si="21"/>
        <v>38993.174376000003</v>
      </c>
      <c r="F38" s="17">
        <f>+F39+F40+F41+F42</f>
        <v>40232.640353289302</v>
      </c>
      <c r="G38" s="17">
        <f t="shared" ref="G38:I38" si="22">+G39+G40+G41+G42</f>
        <v>0</v>
      </c>
      <c r="H38" s="17">
        <f t="shared" si="22"/>
        <v>40232.640353289302</v>
      </c>
      <c r="I38" s="17">
        <f t="shared" si="22"/>
        <v>40232640353.289307</v>
      </c>
    </row>
    <row r="39" spans="1:11" x14ac:dyDescent="0.2">
      <c r="A39" s="13" t="s">
        <v>37</v>
      </c>
      <c r="B39" s="11">
        <v>268.06492700000001</v>
      </c>
      <c r="C39" s="11">
        <v>1357.14705339137</v>
      </c>
      <c r="D39" s="11">
        <v>618.98366599999997</v>
      </c>
      <c r="E39" s="11">
        <f>+D39/9*12</f>
        <v>825.31155466666655</v>
      </c>
      <c r="F39" s="11">
        <v>1636.034120024</v>
      </c>
      <c r="G39" s="11"/>
      <c r="H39" s="11">
        <f t="shared" si="19"/>
        <v>1636.034120024</v>
      </c>
      <c r="I39" s="11">
        <f t="shared" ref="I39:I41" si="23">H39*1000000</f>
        <v>1636034120.0239999</v>
      </c>
    </row>
    <row r="40" spans="1:11" x14ac:dyDescent="0.2">
      <c r="A40" s="13" t="s">
        <v>38</v>
      </c>
      <c r="B40" s="11">
        <v>44296.355035</v>
      </c>
      <c r="C40" s="11">
        <v>29722.390476274199</v>
      </c>
      <c r="D40" s="11">
        <v>28625.897116</v>
      </c>
      <c r="E40" s="11">
        <f>+D40/9*12</f>
        <v>38167.862821333336</v>
      </c>
      <c r="F40" s="11">
        <v>37205.248955553303</v>
      </c>
      <c r="G40" s="11"/>
      <c r="H40" s="11">
        <f t="shared" si="19"/>
        <v>37205.248955553303</v>
      </c>
      <c r="I40" s="11">
        <f t="shared" si="23"/>
        <v>37205248955.553307</v>
      </c>
    </row>
    <row r="41" spans="1:11" ht="15.75" x14ac:dyDescent="0.2">
      <c r="A41" s="25" t="s">
        <v>39</v>
      </c>
      <c r="B41" s="14">
        <v>384.430815</v>
      </c>
      <c r="C41" s="6">
        <v>410.22023177100698</v>
      </c>
      <c r="D41" s="6">
        <v>62.734191000000003</v>
      </c>
      <c r="E41" s="6">
        <f>+D41/9*12</f>
        <v>83.645588000000004</v>
      </c>
      <c r="F41" s="20">
        <v>1081.0275647399999</v>
      </c>
      <c r="G41" s="6"/>
      <c r="H41" s="20">
        <v>1081.0275647399999</v>
      </c>
      <c r="I41" s="11">
        <f t="shared" si="23"/>
        <v>1081027564.7399998</v>
      </c>
    </row>
    <row r="42" spans="1:11" x14ac:dyDescent="0.2">
      <c r="A42" s="13" t="s">
        <v>53</v>
      </c>
      <c r="B42" s="11">
        <v>35.433653999999997</v>
      </c>
      <c r="C42" s="11">
        <v>203.521183231153</v>
      </c>
      <c r="D42" s="11">
        <v>174.31944799999999</v>
      </c>
      <c r="E42" s="11">
        <f>+D42/9*12</f>
        <v>232.42593066666666</v>
      </c>
      <c r="F42" s="11">
        <v>310.32971297199998</v>
      </c>
      <c r="G42" s="11"/>
      <c r="H42" s="11">
        <f t="shared" ref="H42" si="24">F42+G42</f>
        <v>310.32971297199998</v>
      </c>
      <c r="I42" s="11">
        <f t="shared" ref="I42:I45" si="25">H42*1000000</f>
        <v>310329712.972</v>
      </c>
    </row>
    <row r="43" spans="1:11" ht="15.75" x14ac:dyDescent="0.2">
      <c r="A43" s="5" t="s">
        <v>52</v>
      </c>
      <c r="B43" s="6" t="e">
        <f>+#REF!+B44+B45</f>
        <v>#REF!</v>
      </c>
      <c r="C43" s="6" t="e">
        <f>+#REF!+C44+C45</f>
        <v>#REF!</v>
      </c>
      <c r="D43" s="6" t="e">
        <f>+#REF!+D44+D45</f>
        <v>#REF!</v>
      </c>
      <c r="E43" s="6" t="e">
        <f>+#REF!+E44+E45</f>
        <v>#REF!</v>
      </c>
      <c r="F43" s="6">
        <f>+F44+F45</f>
        <v>27742.9088921</v>
      </c>
      <c r="G43" s="6">
        <f t="shared" ref="G43:I43" si="26">+G44+G45</f>
        <v>0</v>
      </c>
      <c r="H43" s="6">
        <f t="shared" si="26"/>
        <v>27742.9088921</v>
      </c>
      <c r="I43" s="6">
        <f t="shared" si="26"/>
        <v>27742908892.099998</v>
      </c>
    </row>
    <row r="44" spans="1:11" x14ac:dyDescent="0.2">
      <c r="A44" s="13" t="s">
        <v>41</v>
      </c>
      <c r="B44" s="11">
        <v>9449.0773640000007</v>
      </c>
      <c r="C44" s="11">
        <v>10339.227666000001</v>
      </c>
      <c r="D44" s="11">
        <v>11408.214615000001</v>
      </c>
      <c r="E44" s="11">
        <f>+D44/9*12</f>
        <v>15210.952820000002</v>
      </c>
      <c r="F44" s="11">
        <v>16808.102866099998</v>
      </c>
      <c r="G44" s="11"/>
      <c r="H44" s="11">
        <f t="shared" ref="H44:H45" si="27">F44+G44</f>
        <v>16808.102866099998</v>
      </c>
      <c r="I44" s="11">
        <f t="shared" si="25"/>
        <v>16808102866.099998</v>
      </c>
    </row>
    <row r="45" spans="1:11" x14ac:dyDescent="0.2">
      <c r="A45" s="13" t="s">
        <v>54</v>
      </c>
      <c r="B45" s="11">
        <v>8785.2913389999994</v>
      </c>
      <c r="C45" s="11">
        <v>0</v>
      </c>
      <c r="D45" s="11">
        <v>22276.878441000001</v>
      </c>
      <c r="E45" s="11">
        <f>+D45/9*12</f>
        <v>29702.504588</v>
      </c>
      <c r="F45" s="11">
        <v>10934.806026</v>
      </c>
      <c r="G45" s="11"/>
      <c r="H45" s="11">
        <f t="shared" si="27"/>
        <v>10934.806026</v>
      </c>
      <c r="I45" s="11">
        <f t="shared" si="25"/>
        <v>10934806026</v>
      </c>
    </row>
    <row r="46" spans="1:11" ht="15.75" x14ac:dyDescent="0.2">
      <c r="A46" s="23" t="s">
        <v>43</v>
      </c>
      <c r="B46" s="24" t="e">
        <f>+B5-B21-#REF!</f>
        <v>#REF!</v>
      </c>
      <c r="C46" s="24" t="e">
        <f>+C5-C21-#REF!</f>
        <v>#REF!</v>
      </c>
      <c r="D46" s="24" t="e">
        <f>+D5-D21-#REF!</f>
        <v>#REF!</v>
      </c>
      <c r="E46" s="24" t="e">
        <f>+E5-E21-#REF!</f>
        <v>#REF!</v>
      </c>
      <c r="F46" s="24">
        <f>F5-F20</f>
        <v>-60509.105383256683</v>
      </c>
      <c r="G46" s="24"/>
      <c r="H46" s="24">
        <f>H5-H20</f>
        <v>-60509.105383256683</v>
      </c>
      <c r="I46" s="24">
        <f>I5-I20</f>
        <v>-60509105383.256836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9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" sqref="P1:P1048576"/>
    </sheetView>
  </sheetViews>
  <sheetFormatPr baseColWidth="10" defaultColWidth="11.42578125" defaultRowHeight="12.75" x14ac:dyDescent="0.2"/>
  <cols>
    <col min="1" max="1" width="35.42578125" style="27" customWidth="1"/>
    <col min="2" max="2" width="24.28515625" style="27" customWidth="1"/>
    <col min="3" max="3" width="22.5703125" style="27" hidden="1" customWidth="1"/>
    <col min="4" max="13" width="19.7109375" style="62" hidden="1" customWidth="1"/>
    <col min="14" max="14" width="21.7109375" style="62" customWidth="1"/>
    <col min="15" max="15" width="16.85546875" style="86" hidden="1" customWidth="1"/>
    <col min="16" max="16" width="23.85546875" style="62" customWidth="1"/>
    <col min="17" max="17" width="19.28515625" style="27" hidden="1" customWidth="1"/>
    <col min="18" max="18" width="18.5703125" style="93" hidden="1" customWidth="1"/>
    <col min="19" max="19" width="14.5703125" style="27" customWidth="1"/>
    <col min="20" max="16384" width="11.42578125" style="27"/>
  </cols>
  <sheetData>
    <row r="1" spans="1:18" ht="20.25" x14ac:dyDescent="0.3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s="28" customFormat="1" ht="18" x14ac:dyDescent="0.25">
      <c r="A2" s="226" t="s">
        <v>149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63"/>
      <c r="R2" s="99"/>
    </row>
    <row r="3" spans="1:18" ht="72" customHeight="1" x14ac:dyDescent="0.25">
      <c r="A3" s="51" t="s">
        <v>56</v>
      </c>
      <c r="B3" s="116" t="s">
        <v>148</v>
      </c>
      <c r="C3" s="116" t="s">
        <v>170</v>
      </c>
      <c r="D3" s="61">
        <v>42736</v>
      </c>
      <c r="E3" s="61">
        <v>42767</v>
      </c>
      <c r="F3" s="61">
        <v>42795</v>
      </c>
      <c r="G3" s="61">
        <v>42826</v>
      </c>
      <c r="H3" s="61">
        <v>42856</v>
      </c>
      <c r="I3" s="61">
        <v>42887</v>
      </c>
      <c r="J3" s="61">
        <v>42917</v>
      </c>
      <c r="K3" s="61">
        <v>42948</v>
      </c>
      <c r="L3" s="61">
        <v>42979</v>
      </c>
      <c r="M3" s="115" t="s">
        <v>171</v>
      </c>
      <c r="N3" s="115" t="s">
        <v>172</v>
      </c>
      <c r="O3" s="84" t="s">
        <v>154</v>
      </c>
      <c r="P3" s="115" t="s">
        <v>255</v>
      </c>
      <c r="Q3" s="106" t="s">
        <v>253</v>
      </c>
      <c r="R3" s="106" t="s">
        <v>254</v>
      </c>
    </row>
    <row r="4" spans="1:18" ht="15.75" x14ac:dyDescent="0.25">
      <c r="A4" s="49" t="s">
        <v>146</v>
      </c>
      <c r="B4" s="50">
        <f>B5+B14+B16</f>
        <v>1465112488673.4463</v>
      </c>
      <c r="C4" s="50">
        <f>C5+C14+C16</f>
        <v>122092707389.45386</v>
      </c>
      <c r="D4" s="50">
        <f>D5+D14+D16</f>
        <v>169870404396</v>
      </c>
      <c r="E4" s="50">
        <f t="shared" ref="E4" si="0">E5+E14+E16</f>
        <v>130425851915</v>
      </c>
      <c r="F4" s="50">
        <f t="shared" ref="F4:G4" si="1">F5+F14+F16</f>
        <v>90309153786</v>
      </c>
      <c r="G4" s="50">
        <f t="shared" si="1"/>
        <v>67634356794</v>
      </c>
      <c r="H4" s="50">
        <f t="shared" ref="H4:I4" si="2">H5+H14+H16</f>
        <v>118063323076</v>
      </c>
      <c r="I4" s="50">
        <f t="shared" si="2"/>
        <v>126289548538</v>
      </c>
      <c r="J4" s="50">
        <f t="shared" ref="J4:K4" si="3">J5+J14+J16</f>
        <v>121230373090</v>
      </c>
      <c r="K4" s="50">
        <f t="shared" si="3"/>
        <v>124258667904</v>
      </c>
      <c r="L4" s="50">
        <f t="shared" ref="L4:M4" si="4">L5+L14+L16</f>
        <v>121320086553</v>
      </c>
      <c r="M4" s="50">
        <f t="shared" si="4"/>
        <v>127876920168</v>
      </c>
      <c r="N4" s="50">
        <f>N5+N14+N16</f>
        <v>1197278686220</v>
      </c>
      <c r="O4" s="85">
        <f>+N4/((B4/12)*10)</f>
        <v>0.98063079427086131</v>
      </c>
      <c r="P4" s="50">
        <f>+P5+P14+P16</f>
        <v>1542276037713.8875</v>
      </c>
      <c r="Q4" s="104">
        <f>(+P4/((N4/10)*12))-1</f>
        <v>7.3459376017054101E-2</v>
      </c>
    </row>
    <row r="5" spans="1:18" ht="15.75" x14ac:dyDescent="0.25">
      <c r="A5" s="30" t="s">
        <v>243</v>
      </c>
      <c r="B5" s="45">
        <f>SUM(B6:B13)</f>
        <v>1395294289924.2925</v>
      </c>
      <c r="C5" s="45">
        <f>SUM(C6:C13)</f>
        <v>116274524160.3577</v>
      </c>
      <c r="D5" s="45">
        <f>SUM(D6:D13)</f>
        <v>113067843619</v>
      </c>
      <c r="E5" s="45">
        <f t="shared" ref="E5" si="5">SUM(E6:E13)</f>
        <v>112632629438</v>
      </c>
      <c r="F5" s="45">
        <f t="shared" ref="F5:G5" si="6">SUM(F6:F13)</f>
        <v>113961701742</v>
      </c>
      <c r="G5" s="45">
        <f t="shared" si="6"/>
        <v>108791122851</v>
      </c>
      <c r="H5" s="45">
        <f t="shared" ref="H5:I5" si="7">SUM(H6:H13)</f>
        <v>113152865748</v>
      </c>
      <c r="I5" s="45">
        <f t="shared" si="7"/>
        <v>115758100758</v>
      </c>
      <c r="J5" s="45">
        <f t="shared" ref="J5:K5" si="8">SUM(J6:J13)</f>
        <v>114677044452</v>
      </c>
      <c r="K5" s="45">
        <f t="shared" si="8"/>
        <v>116592398907</v>
      </c>
      <c r="L5" s="45">
        <f t="shared" ref="L5:M5" si="9">SUM(L6:L13)</f>
        <v>114245780102</v>
      </c>
      <c r="M5" s="45">
        <f t="shared" si="9"/>
        <v>116242953016</v>
      </c>
      <c r="N5" s="45">
        <f>SUM(N6:N13)</f>
        <v>1139122440633</v>
      </c>
      <c r="O5" s="85">
        <f t="shared" ref="O5:O17" si="10">+N5/((B5/12)*10)</f>
        <v>0.97968359695198737</v>
      </c>
      <c r="P5" s="45">
        <f>SUM(P6:P13)</f>
        <v>1468168904306.9785</v>
      </c>
      <c r="Q5" s="93">
        <f t="shared" ref="Q5:Q68" si="11">(+P5/((N5/10)*12))-1</f>
        <v>7.4049674802832088E-2</v>
      </c>
      <c r="R5" s="103">
        <f>+P5/$P$4</f>
        <v>0.95194950087096097</v>
      </c>
    </row>
    <row r="6" spans="1:18" ht="15.75" x14ac:dyDescent="0.25">
      <c r="A6" s="36" t="s">
        <v>9</v>
      </c>
      <c r="B6" s="35">
        <v>1335375180797.01</v>
      </c>
      <c r="C6" s="35">
        <f>+B6/12</f>
        <v>111281265066.4175</v>
      </c>
      <c r="D6" s="64">
        <v>109319165053</v>
      </c>
      <c r="E6" s="64">
        <v>109007102398</v>
      </c>
      <c r="F6" s="64">
        <v>109460195930</v>
      </c>
      <c r="G6" s="64">
        <v>104496138227</v>
      </c>
      <c r="H6" s="64">
        <v>108290935126</v>
      </c>
      <c r="I6" s="64">
        <v>108724314923</v>
      </c>
      <c r="J6" s="64">
        <v>110240425881</v>
      </c>
      <c r="K6" s="64">
        <v>110577732029</v>
      </c>
      <c r="L6" s="64">
        <v>109378407125</v>
      </c>
      <c r="M6" s="64">
        <v>111042823619</v>
      </c>
      <c r="N6" s="64">
        <f>+E6+D6+F6+G6+H6+I6+J6+K6+L6+M6</f>
        <v>1090537240311</v>
      </c>
      <c r="O6" s="85">
        <f t="shared" si="10"/>
        <v>0.97998278475727241</v>
      </c>
      <c r="P6" s="107">
        <v>1391576708765.2478</v>
      </c>
      <c r="Q6" s="93">
        <f t="shared" si="11"/>
        <v>6.3372450237154876E-2</v>
      </c>
      <c r="R6" s="93">
        <f>+P6/$P$5</f>
        <v>0.94783148225177494</v>
      </c>
    </row>
    <row r="7" spans="1:18" ht="15.75" x14ac:dyDescent="0.25">
      <c r="A7" s="36" t="s">
        <v>10</v>
      </c>
      <c r="B7" s="35">
        <v>41163376127.282402</v>
      </c>
      <c r="C7" s="35">
        <f t="shared" ref="C7:C17" si="12">+B7/12</f>
        <v>3430281343.9402003</v>
      </c>
      <c r="D7" s="64">
        <v>3504361117</v>
      </c>
      <c r="E7" s="64">
        <v>3384855582</v>
      </c>
      <c r="F7" s="64">
        <v>3646673854</v>
      </c>
      <c r="G7" s="64">
        <v>3811575263</v>
      </c>
      <c r="H7" s="64">
        <v>4143326306</v>
      </c>
      <c r="I7" s="64">
        <v>4696066969</v>
      </c>
      <c r="J7" s="64">
        <v>3854266489</v>
      </c>
      <c r="K7" s="64">
        <v>4823526829</v>
      </c>
      <c r="L7" s="64">
        <v>4327079217</v>
      </c>
      <c r="M7" s="78">
        <v>4364849420</v>
      </c>
      <c r="N7" s="64">
        <f t="shared" ref="N7:N13" si="13">+E7+D7+F7+G7+H7+I7+J7+K7+L7+M7</f>
        <v>40556581046</v>
      </c>
      <c r="O7" s="85">
        <f t="shared" si="10"/>
        <v>1.182310632264775</v>
      </c>
      <c r="P7" s="107">
        <f>63523386102.0553*0.85</f>
        <v>53994878186.747002</v>
      </c>
      <c r="Q7" s="93">
        <f t="shared" si="11"/>
        <v>0.1094557445869071</v>
      </c>
      <c r="R7" s="93">
        <f t="shared" ref="R7:R13" si="14">+P7/$P$5</f>
        <v>3.6777020701330182E-2</v>
      </c>
    </row>
    <row r="8" spans="1:18" ht="15.75" x14ac:dyDescent="0.25">
      <c r="A8" s="36" t="s">
        <v>11</v>
      </c>
      <c r="B8" s="35">
        <v>4155709000</v>
      </c>
      <c r="C8" s="35">
        <f t="shared" si="12"/>
        <v>346309083.33333331</v>
      </c>
      <c r="D8" s="64">
        <v>191690</v>
      </c>
      <c r="E8" s="64">
        <v>2314938</v>
      </c>
      <c r="F8" s="64">
        <v>603231556</v>
      </c>
      <c r="G8" s="64">
        <v>212065698</v>
      </c>
      <c r="H8" s="64">
        <v>423688684</v>
      </c>
      <c r="I8" s="64">
        <v>369669468</v>
      </c>
      <c r="J8" s="64">
        <v>308442937</v>
      </c>
      <c r="K8" s="64">
        <v>316848496</v>
      </c>
      <c r="L8" s="64">
        <v>167901391</v>
      </c>
      <c r="M8" s="64">
        <v>515871761</v>
      </c>
      <c r="N8" s="64">
        <f t="shared" si="13"/>
        <v>2920226619</v>
      </c>
      <c r="O8" s="85">
        <f t="shared" si="10"/>
        <v>0.84324286007514004</v>
      </c>
      <c r="P8" s="107">
        <v>3512600647.6862812</v>
      </c>
      <c r="Q8" s="93">
        <f t="shared" si="11"/>
        <v>2.3767290387932682E-3</v>
      </c>
      <c r="R8" s="93">
        <f t="shared" si="14"/>
        <v>2.3925044573426231E-3</v>
      </c>
    </row>
    <row r="9" spans="1:18" ht="15.75" x14ac:dyDescent="0.25">
      <c r="A9" s="36" t="s">
        <v>12</v>
      </c>
      <c r="B9" s="35">
        <v>977639000</v>
      </c>
      <c r="C9" s="35">
        <f t="shared" si="12"/>
        <v>81469916.666666672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/>
      <c r="L9" s="64">
        <v>0</v>
      </c>
      <c r="M9" s="64">
        <v>0</v>
      </c>
      <c r="N9" s="64">
        <f t="shared" si="13"/>
        <v>0</v>
      </c>
      <c r="O9" s="85">
        <f t="shared" si="10"/>
        <v>0</v>
      </c>
      <c r="P9" s="107">
        <v>854016989.22009993</v>
      </c>
      <c r="Q9" s="93"/>
      <c r="R9" s="93">
        <f t="shared" si="14"/>
        <v>5.816885146625705E-4</v>
      </c>
    </row>
    <row r="10" spans="1:18" ht="15.75" x14ac:dyDescent="0.25">
      <c r="A10" s="36" t="s">
        <v>13</v>
      </c>
      <c r="B10" s="35">
        <v>83865000</v>
      </c>
      <c r="C10" s="35">
        <f t="shared" si="12"/>
        <v>6988750</v>
      </c>
      <c r="D10" s="64">
        <v>116949343</v>
      </c>
      <c r="E10" s="64">
        <v>111816247</v>
      </c>
      <c r="F10" s="64">
        <v>120001982</v>
      </c>
      <c r="G10" s="64">
        <v>128676212</v>
      </c>
      <c r="H10" s="64">
        <v>136936566</v>
      </c>
      <c r="I10" s="64">
        <v>156397999</v>
      </c>
      <c r="J10" s="64">
        <v>127562683</v>
      </c>
      <c r="K10" s="64">
        <v>159796467</v>
      </c>
      <c r="L10" s="64">
        <v>143028143</v>
      </c>
      <c r="M10" s="78">
        <v>144394599</v>
      </c>
      <c r="N10" s="64">
        <f t="shared" si="13"/>
        <v>1345560241</v>
      </c>
      <c r="O10" s="85">
        <f t="shared" si="10"/>
        <v>19.253231851189412</v>
      </c>
      <c r="P10" s="107">
        <v>180200268.35757917</v>
      </c>
      <c r="Q10" s="93">
        <f t="shared" si="11"/>
        <v>-0.88839824058239047</v>
      </c>
      <c r="R10" s="93">
        <f t="shared" si="14"/>
        <v>1.2273810447077906E-4</v>
      </c>
    </row>
    <row r="11" spans="1:18" ht="15.75" x14ac:dyDescent="0.25">
      <c r="A11" s="36" t="s">
        <v>14</v>
      </c>
      <c r="B11" s="35">
        <v>126729000</v>
      </c>
      <c r="C11" s="35">
        <f t="shared" si="12"/>
        <v>10560750</v>
      </c>
      <c r="D11" s="64">
        <v>127176416</v>
      </c>
      <c r="E11" s="64">
        <v>126540273</v>
      </c>
      <c r="F11" s="64">
        <v>131598420</v>
      </c>
      <c r="G11" s="64">
        <v>142667451</v>
      </c>
      <c r="H11" s="64">
        <v>155306375</v>
      </c>
      <c r="I11" s="64">
        <v>177204866</v>
      </c>
      <c r="J11" s="64">
        <v>143980829</v>
      </c>
      <c r="K11" s="64">
        <v>181918574</v>
      </c>
      <c r="L11" s="64">
        <v>163151041</v>
      </c>
      <c r="M11" s="78">
        <v>175013617</v>
      </c>
      <c r="N11" s="64">
        <f t="shared" si="13"/>
        <v>1524557862</v>
      </c>
      <c r="O11" s="85">
        <f t="shared" si="10"/>
        <v>14.436075676443435</v>
      </c>
      <c r="P11" s="107">
        <v>1212886421.6375523</v>
      </c>
      <c r="Q11" s="93">
        <f t="shared" si="11"/>
        <v>-0.3370283215279104</v>
      </c>
      <c r="R11" s="93">
        <f t="shared" si="14"/>
        <v>8.2612185701485923E-4</v>
      </c>
    </row>
    <row r="12" spans="1:18" ht="15.75" x14ac:dyDescent="0.25">
      <c r="A12" s="36" t="s">
        <v>15</v>
      </c>
      <c r="B12" s="35">
        <v>8411790999.999999</v>
      </c>
      <c r="C12" s="35">
        <f t="shared" si="12"/>
        <v>700982583.33333325</v>
      </c>
      <c r="D12" s="64">
        <v>0</v>
      </c>
      <c r="E12" s="64">
        <v>0</v>
      </c>
      <c r="F12" s="64"/>
      <c r="G12" s="64"/>
      <c r="H12" s="64"/>
      <c r="I12" s="64"/>
      <c r="J12" s="64">
        <v>0</v>
      </c>
      <c r="K12" s="64">
        <v>532576512</v>
      </c>
      <c r="L12" s="64">
        <v>66213185</v>
      </c>
      <c r="M12" s="64">
        <v>0</v>
      </c>
      <c r="N12" s="64">
        <f t="shared" si="13"/>
        <v>598789697</v>
      </c>
      <c r="O12" s="85">
        <f t="shared" si="10"/>
        <v>8.5421479967821373E-2</v>
      </c>
      <c r="P12" s="107">
        <v>8837613028.0819759</v>
      </c>
      <c r="Q12" s="93">
        <f t="shared" si="11"/>
        <v>11.299272282571765</v>
      </c>
      <c r="R12" s="93">
        <f t="shared" si="14"/>
        <v>6.0194797765817038E-3</v>
      </c>
    </row>
    <row r="13" spans="1:18" ht="15.75" x14ac:dyDescent="0.25">
      <c r="A13" s="36" t="s">
        <v>16</v>
      </c>
      <c r="B13" s="35">
        <v>5000000000</v>
      </c>
      <c r="C13" s="35">
        <f t="shared" si="12"/>
        <v>416666666.66666669</v>
      </c>
      <c r="D13" s="64">
        <v>0</v>
      </c>
      <c r="E13" s="64">
        <v>0</v>
      </c>
      <c r="F13" s="64"/>
      <c r="G13" s="64"/>
      <c r="H13" s="64">
        <v>2672691</v>
      </c>
      <c r="I13" s="64">
        <v>1634446533</v>
      </c>
      <c r="J13" s="75">
        <v>2365633</v>
      </c>
      <c r="K13" s="75"/>
      <c r="L13" s="75">
        <v>0</v>
      </c>
      <c r="M13" s="75">
        <v>0</v>
      </c>
      <c r="N13" s="64">
        <f t="shared" si="13"/>
        <v>1639484857</v>
      </c>
      <c r="O13" s="85">
        <f t="shared" si="10"/>
        <v>0.39347636568</v>
      </c>
      <c r="P13" s="107">
        <v>8000000000</v>
      </c>
      <c r="Q13" s="93">
        <f t="shared" si="11"/>
        <v>3.0663179279774626</v>
      </c>
      <c r="R13" s="93">
        <f t="shared" si="14"/>
        <v>5.4489643368221654E-3</v>
      </c>
    </row>
    <row r="14" spans="1:18" ht="15.75" x14ac:dyDescent="0.25">
      <c r="A14" s="30" t="s">
        <v>242</v>
      </c>
      <c r="B14" s="45">
        <f>B15</f>
        <v>65857500008.207603</v>
      </c>
      <c r="C14" s="45">
        <f>C15</f>
        <v>5488125000.6839666</v>
      </c>
      <c r="D14" s="45">
        <f>D15</f>
        <v>41083113898</v>
      </c>
      <c r="E14" s="45">
        <f t="shared" ref="E14:N14" si="15">E15</f>
        <v>4483303467</v>
      </c>
      <c r="F14" s="45">
        <f t="shared" si="15"/>
        <v>3689419969</v>
      </c>
      <c r="G14" s="45">
        <f t="shared" si="15"/>
        <v>-41814903007</v>
      </c>
      <c r="H14" s="45">
        <f t="shared" si="15"/>
        <v>4449746672</v>
      </c>
      <c r="I14" s="45">
        <f t="shared" si="15"/>
        <v>10144064636</v>
      </c>
      <c r="J14" s="45">
        <f t="shared" si="15"/>
        <v>6356567023</v>
      </c>
      <c r="K14" s="45">
        <f t="shared" si="15"/>
        <v>7139834288</v>
      </c>
      <c r="L14" s="45">
        <f t="shared" si="15"/>
        <v>4647621707</v>
      </c>
      <c r="M14" s="45">
        <f t="shared" si="15"/>
        <v>6575093955</v>
      </c>
      <c r="N14" s="45">
        <f t="shared" si="15"/>
        <v>46753862608</v>
      </c>
      <c r="O14" s="85">
        <f t="shared" si="10"/>
        <v>0.8519095793585828</v>
      </c>
      <c r="P14" s="45">
        <f>+P15</f>
        <v>58548372757.240013</v>
      </c>
      <c r="Q14" s="93">
        <f t="shared" si="11"/>
        <v>4.3556786743110365E-2</v>
      </c>
      <c r="R14" s="93">
        <f>+P14/P4</f>
        <v>3.796231759136072E-2</v>
      </c>
    </row>
    <row r="15" spans="1:18" ht="15.75" x14ac:dyDescent="0.25">
      <c r="A15" s="36" t="s">
        <v>259</v>
      </c>
      <c r="B15" s="35">
        <v>65857500008.207603</v>
      </c>
      <c r="C15" s="35">
        <f t="shared" si="12"/>
        <v>5488125000.6839666</v>
      </c>
      <c r="D15" s="64">
        <v>41083113898</v>
      </c>
      <c r="E15" s="64">
        <v>4483303467</v>
      </c>
      <c r="F15" s="64">
        <v>3689419969</v>
      </c>
      <c r="G15" s="64">
        <v>-41814903007</v>
      </c>
      <c r="H15" s="64">
        <v>4449746672</v>
      </c>
      <c r="I15" s="64">
        <v>10144064636</v>
      </c>
      <c r="J15" s="64">
        <v>6356567023</v>
      </c>
      <c r="K15" s="64">
        <v>7139834288</v>
      </c>
      <c r="L15" s="64">
        <v>4647621707</v>
      </c>
      <c r="M15" s="64">
        <v>6575093955</v>
      </c>
      <c r="N15" s="64">
        <f>+E15+D15+F15+G15+H15+I15+J15+K15+L15+M15</f>
        <v>46753862608</v>
      </c>
      <c r="O15" s="85">
        <f t="shared" si="10"/>
        <v>0.8519095793585828</v>
      </c>
      <c r="P15" s="107">
        <v>58548372757.240013</v>
      </c>
      <c r="Q15" s="93">
        <f t="shared" si="11"/>
        <v>4.3556786743110365E-2</v>
      </c>
      <c r="R15" s="104">
        <f>+P15/P14</f>
        <v>1</v>
      </c>
    </row>
    <row r="16" spans="1:18" ht="15.75" x14ac:dyDescent="0.25">
      <c r="A16" s="30" t="s">
        <v>147</v>
      </c>
      <c r="B16" s="45">
        <f>B17</f>
        <v>3960698740.9464002</v>
      </c>
      <c r="C16" s="45">
        <f>C17</f>
        <v>330058228.41220003</v>
      </c>
      <c r="D16" s="45">
        <f>D17</f>
        <v>15719446879</v>
      </c>
      <c r="E16" s="45">
        <f t="shared" ref="E16:N16" si="16">E17</f>
        <v>13309919010</v>
      </c>
      <c r="F16" s="45">
        <f t="shared" si="16"/>
        <v>-27341967925</v>
      </c>
      <c r="G16" s="45">
        <f t="shared" si="16"/>
        <v>658136950</v>
      </c>
      <c r="H16" s="45">
        <f t="shared" si="16"/>
        <v>460710656</v>
      </c>
      <c r="I16" s="45">
        <f t="shared" si="16"/>
        <v>387383144</v>
      </c>
      <c r="J16" s="45">
        <f t="shared" si="16"/>
        <v>196761615</v>
      </c>
      <c r="K16" s="45">
        <f t="shared" si="16"/>
        <v>526434709</v>
      </c>
      <c r="L16" s="45">
        <f t="shared" si="16"/>
        <v>2426684744</v>
      </c>
      <c r="M16" s="45">
        <f t="shared" si="16"/>
        <v>5058873197</v>
      </c>
      <c r="N16" s="45">
        <f t="shared" si="16"/>
        <v>11402382979</v>
      </c>
      <c r="O16" s="85">
        <f t="shared" si="10"/>
        <v>3.4546579959097095</v>
      </c>
      <c r="P16" s="45">
        <f>+P17</f>
        <v>15558760649.668894</v>
      </c>
      <c r="Q16" s="93">
        <f t="shared" si="11"/>
        <v>0.13709861338661811</v>
      </c>
      <c r="R16" s="93">
        <f>+P16/P4</f>
        <v>1.0088181537678308E-2</v>
      </c>
    </row>
    <row r="17" spans="1:19" ht="15.75" x14ac:dyDescent="0.25">
      <c r="A17" s="36" t="s">
        <v>18</v>
      </c>
      <c r="B17" s="35">
        <v>3960698740.9464002</v>
      </c>
      <c r="C17" s="35">
        <f t="shared" si="12"/>
        <v>330058228.41220003</v>
      </c>
      <c r="D17" s="64">
        <v>15719446879</v>
      </c>
      <c r="E17" s="64">
        <v>13309919010</v>
      </c>
      <c r="F17" s="64">
        <v>-27341967925</v>
      </c>
      <c r="G17" s="64">
        <v>658136950</v>
      </c>
      <c r="H17" s="64">
        <v>460710656</v>
      </c>
      <c r="I17" s="64">
        <v>387383144</v>
      </c>
      <c r="J17" s="64">
        <v>196761615</v>
      </c>
      <c r="K17" s="64">
        <v>526434709</v>
      </c>
      <c r="L17" s="64">
        <v>2426684744</v>
      </c>
      <c r="M17" s="64">
        <v>5058873197</v>
      </c>
      <c r="N17" s="64">
        <f>+E17+D17+F17+G17+H17+I17+J17+K17+L17+M17</f>
        <v>11402382979</v>
      </c>
      <c r="O17" s="85">
        <f t="shared" si="10"/>
        <v>3.4546579959097095</v>
      </c>
      <c r="P17" s="107">
        <v>15558760649.668894</v>
      </c>
      <c r="Q17" s="93">
        <f t="shared" si="11"/>
        <v>0.13709861338661811</v>
      </c>
      <c r="R17" s="104">
        <f>+P17/P16</f>
        <v>1</v>
      </c>
    </row>
    <row r="18" spans="1:19" ht="15.75" x14ac:dyDescent="0.25">
      <c r="A18" s="49" t="s">
        <v>57</v>
      </c>
      <c r="B18" s="50">
        <f t="shared" ref="B18:N18" si="17">B19+B123+B127+B138</f>
        <v>1525621594056.7756</v>
      </c>
      <c r="C18" s="50">
        <f t="shared" si="17"/>
        <v>119607882787.23129</v>
      </c>
      <c r="D18" s="50">
        <f t="shared" si="17"/>
        <v>141379280425</v>
      </c>
      <c r="E18" s="50">
        <f t="shared" si="17"/>
        <v>150917942124</v>
      </c>
      <c r="F18" s="50">
        <f t="shared" si="17"/>
        <v>114506448031</v>
      </c>
      <c r="G18" s="50">
        <f t="shared" si="17"/>
        <v>109468132775</v>
      </c>
      <c r="H18" s="50">
        <f t="shared" si="17"/>
        <v>191267883310</v>
      </c>
      <c r="I18" s="50">
        <f t="shared" si="17"/>
        <v>126153963785</v>
      </c>
      <c r="J18" s="50">
        <f t="shared" si="17"/>
        <v>110514505236.99757</v>
      </c>
      <c r="K18" s="50">
        <f t="shared" si="17"/>
        <v>84285713480.002426</v>
      </c>
      <c r="L18" s="50">
        <f t="shared" si="17"/>
        <v>119738547457</v>
      </c>
      <c r="M18" s="50">
        <f>M19+M123+M127+M138</f>
        <v>148826551478</v>
      </c>
      <c r="N18" s="50">
        <f t="shared" si="17"/>
        <v>1366179008454</v>
      </c>
      <c r="O18" s="50" t="e">
        <f t="shared" ref="O18" si="18">O19+O123+O127+O138</f>
        <v>#DIV/0!</v>
      </c>
      <c r="P18" s="50">
        <f>P19+P138</f>
        <v>1593725244208.0752</v>
      </c>
      <c r="Q18" s="93">
        <f t="shared" si="11"/>
        <v>-2.7869435882849625E-2</v>
      </c>
      <c r="R18" s="104">
        <f>+P18/P4</f>
        <v>1.0333592724234053</v>
      </c>
    </row>
    <row r="19" spans="1:19" s="31" customFormat="1" ht="15.75" x14ac:dyDescent="0.25">
      <c r="A19" s="30" t="s">
        <v>48</v>
      </c>
      <c r="B19" s="45">
        <f>B20+B43</f>
        <v>71540009688.877731</v>
      </c>
      <c r="C19" s="45">
        <f>C20+C43</f>
        <v>5961667474.0731449</v>
      </c>
      <c r="D19" s="45">
        <f>D20+D43</f>
        <v>4239935713</v>
      </c>
      <c r="E19" s="45">
        <f t="shared" ref="E19:F19" si="19">E20+E43</f>
        <v>5117782556</v>
      </c>
      <c r="F19" s="45">
        <f t="shared" si="19"/>
        <v>4879855802</v>
      </c>
      <c r="G19" s="45">
        <f t="shared" ref="G19:H19" si="20">G20+G43</f>
        <v>4279441833</v>
      </c>
      <c r="H19" s="45">
        <f t="shared" si="20"/>
        <v>4760831288</v>
      </c>
      <c r="I19" s="45">
        <f t="shared" ref="I19:J19" si="21">I20+I43</f>
        <v>4144490160</v>
      </c>
      <c r="J19" s="45">
        <f t="shared" si="21"/>
        <v>4519029278</v>
      </c>
      <c r="K19" s="45">
        <f t="shared" ref="K19:L19" si="22">K20+K43</f>
        <v>4902828319</v>
      </c>
      <c r="L19" s="45">
        <f t="shared" si="22"/>
        <v>4843500288</v>
      </c>
      <c r="M19" s="45">
        <f t="shared" ref="M19" si="23">M20+M43</f>
        <v>4989935484</v>
      </c>
      <c r="N19" s="45">
        <f>N20+N43</f>
        <v>46677630721</v>
      </c>
      <c r="O19" s="85">
        <f>+N19/((B19/12)*10)</f>
        <v>0.7829626681460784</v>
      </c>
      <c r="P19" s="45">
        <f>P20+P43+P123+P127</f>
        <v>86616759898.231216</v>
      </c>
      <c r="Q19" s="93">
        <f t="shared" si="11"/>
        <v>0.54636454622047381</v>
      </c>
      <c r="R19" s="105">
        <f>+P19/P18</f>
        <v>5.4348615116071169E-2</v>
      </c>
      <c r="S19" s="92"/>
    </row>
    <row r="20" spans="1:19" ht="15.75" x14ac:dyDescent="0.25">
      <c r="A20" s="53" t="s">
        <v>32</v>
      </c>
      <c r="B20" s="54">
        <f>B21+B32+B36</f>
        <v>32698726613.300392</v>
      </c>
      <c r="C20" s="54">
        <f>C21+C32+C36</f>
        <v>2724893884.4416995</v>
      </c>
      <c r="D20" s="54">
        <f>D21+D32+D36</f>
        <v>2615407668</v>
      </c>
      <c r="E20" s="54">
        <f t="shared" ref="E20:F20" si="24">E21+E32+E36</f>
        <v>3078877457</v>
      </c>
      <c r="F20" s="54">
        <f t="shared" si="24"/>
        <v>2198970761</v>
      </c>
      <c r="G20" s="54">
        <f t="shared" ref="G20:H20" si="25">G21+G32+G36</f>
        <v>2602788843</v>
      </c>
      <c r="H20" s="54">
        <f t="shared" si="25"/>
        <v>2718831768</v>
      </c>
      <c r="I20" s="54">
        <f t="shared" ref="I20:J20" si="26">I21+I32+I36</f>
        <v>2832104338</v>
      </c>
      <c r="J20" s="54">
        <f t="shared" si="26"/>
        <v>2849398924</v>
      </c>
      <c r="K20" s="54">
        <f t="shared" ref="K20:L20" si="27">K21+K32+K36</f>
        <v>2973414989</v>
      </c>
      <c r="L20" s="54">
        <f t="shared" si="27"/>
        <v>3084847923</v>
      </c>
      <c r="M20" s="54">
        <f t="shared" ref="M20" si="28">M21+M32+M36</f>
        <v>3128318424</v>
      </c>
      <c r="N20" s="54">
        <f>N21+N32+N36</f>
        <v>28082961095</v>
      </c>
      <c r="O20" s="85">
        <f>+N20/((B20/12)*10)</f>
        <v>1.0306075130244525</v>
      </c>
      <c r="P20" s="54">
        <f>+P21+P32+P36</f>
        <v>44641690536.471672</v>
      </c>
      <c r="Q20" s="93">
        <f t="shared" si="11"/>
        <v>0.32469680296699699</v>
      </c>
      <c r="R20" s="93">
        <f>+P20/P19</f>
        <v>0.51539321707395447</v>
      </c>
      <c r="S20" s="93"/>
    </row>
    <row r="21" spans="1:19" ht="15.75" x14ac:dyDescent="0.2">
      <c r="A21" s="33" t="s">
        <v>33</v>
      </c>
      <c r="B21" s="55">
        <f>SUM(B22:B30)</f>
        <v>21787953890.359272</v>
      </c>
      <c r="C21" s="55">
        <f>SUM(C22:C30)</f>
        <v>1815662824.1966059</v>
      </c>
      <c r="D21" s="55">
        <f>SUM(D22:D30)</f>
        <v>1097682325</v>
      </c>
      <c r="E21" s="55">
        <f t="shared" ref="E21:N21" si="29">SUM(E22:E30)</f>
        <v>1627986605</v>
      </c>
      <c r="F21" s="55">
        <f t="shared" ref="F21:G21" si="30">SUM(F22:F30)</f>
        <v>863083171</v>
      </c>
      <c r="G21" s="55">
        <f t="shared" si="30"/>
        <v>1239267893</v>
      </c>
      <c r="H21" s="55">
        <f t="shared" ref="H21:I21" si="31">SUM(H22:H30)</f>
        <v>1315462809</v>
      </c>
      <c r="I21" s="55">
        <f t="shared" si="31"/>
        <v>1380374979</v>
      </c>
      <c r="J21" s="55">
        <f t="shared" ref="J21:K21" si="32">SUM(J22:J30)</f>
        <v>1727450525</v>
      </c>
      <c r="K21" s="55">
        <f t="shared" si="32"/>
        <v>1796184444</v>
      </c>
      <c r="L21" s="55">
        <f t="shared" ref="L21:M21" si="33">SUM(L22:L30)</f>
        <v>1881605847</v>
      </c>
      <c r="M21" s="55">
        <f t="shared" si="33"/>
        <v>1904238491</v>
      </c>
      <c r="N21" s="55">
        <f t="shared" si="29"/>
        <v>14833337089</v>
      </c>
      <c r="O21" s="85">
        <f t="shared" ref="O21:O42" si="34">+N21/((B21/12)*9)</f>
        <v>0.90773933545382623</v>
      </c>
      <c r="P21" s="55">
        <f>SUM(P22:P31)</f>
        <v>32097888262.484646</v>
      </c>
      <c r="Q21" s="93">
        <f t="shared" si="11"/>
        <v>0.80325169301066901</v>
      </c>
      <c r="S21" s="94"/>
    </row>
    <row r="22" spans="1:19" ht="15.75" hidden="1" x14ac:dyDescent="0.25">
      <c r="A22" s="36" t="s">
        <v>58</v>
      </c>
      <c r="B22" s="35">
        <v>15896519839.039648</v>
      </c>
      <c r="C22" s="35">
        <f t="shared" ref="C22:C30" si="35">+B22/12</f>
        <v>1324709986.5866373</v>
      </c>
      <c r="D22" s="64">
        <v>838675524</v>
      </c>
      <c r="E22" s="64">
        <v>915754237</v>
      </c>
      <c r="F22" s="64">
        <v>902056588</v>
      </c>
      <c r="G22" s="64">
        <v>967303228</v>
      </c>
      <c r="H22" s="64">
        <v>1020140449</v>
      </c>
      <c r="I22" s="64">
        <v>1071501174</v>
      </c>
      <c r="J22" s="64">
        <v>1354694633</v>
      </c>
      <c r="K22" s="64">
        <v>1415997293</v>
      </c>
      <c r="L22" s="64">
        <v>1491074891</v>
      </c>
      <c r="M22" s="64">
        <v>1522404396</v>
      </c>
      <c r="N22" s="64">
        <f>+E22+D22+F22+G22+H22+I22+J22+K22+L22+M22</f>
        <v>11499602413</v>
      </c>
      <c r="O22" s="85">
        <f t="shared" si="34"/>
        <v>0.96453836264703019</v>
      </c>
      <c r="P22" s="64">
        <v>24995167695.800762</v>
      </c>
      <c r="Q22" s="93">
        <f t="shared" si="11"/>
        <v>0.81130665783891076</v>
      </c>
    </row>
    <row r="23" spans="1:19" ht="15.75" hidden="1" x14ac:dyDescent="0.25">
      <c r="A23" s="36" t="s">
        <v>59</v>
      </c>
      <c r="B23" s="35">
        <v>374969754.12</v>
      </c>
      <c r="C23" s="35">
        <f t="shared" si="35"/>
        <v>31247479.510000002</v>
      </c>
      <c r="D23" s="64">
        <v>21241877</v>
      </c>
      <c r="E23" s="64">
        <v>20508509</v>
      </c>
      <c r="F23" s="64">
        <v>20803614</v>
      </c>
      <c r="G23" s="64">
        <v>10450979</v>
      </c>
      <c r="H23" s="64">
        <v>20385560</v>
      </c>
      <c r="I23" s="64">
        <v>19918334</v>
      </c>
      <c r="J23" s="64">
        <v>21074321</v>
      </c>
      <c r="K23" s="64">
        <v>21738032</v>
      </c>
      <c r="L23" s="64">
        <v>20926545</v>
      </c>
      <c r="M23" s="64">
        <v>17213104</v>
      </c>
      <c r="N23" s="64">
        <f>+E23+D23+F23+G23+H23+I23+J23+K23+L23+M23</f>
        <v>194260875</v>
      </c>
      <c r="O23" s="85">
        <f t="shared" si="34"/>
        <v>0.6907610471353075</v>
      </c>
      <c r="P23" s="64">
        <v>410974383.4596833</v>
      </c>
      <c r="Q23" s="93">
        <f t="shared" si="11"/>
        <v>0.76298316829402424</v>
      </c>
    </row>
    <row r="24" spans="1:19" ht="15.75" hidden="1" x14ac:dyDescent="0.25">
      <c r="A24" s="36" t="s">
        <v>60</v>
      </c>
      <c r="B24" s="35">
        <v>484817328</v>
      </c>
      <c r="C24" s="35">
        <f t="shared" si="35"/>
        <v>40401444</v>
      </c>
      <c r="D24" s="64">
        <v>30972000</v>
      </c>
      <c r="E24" s="64">
        <v>35132851</v>
      </c>
      <c r="F24" s="64">
        <v>37135870</v>
      </c>
      <c r="G24" s="64">
        <v>37074900</v>
      </c>
      <c r="H24" s="64">
        <v>37598675</v>
      </c>
      <c r="I24" s="64">
        <v>36944637</v>
      </c>
      <c r="J24" s="64">
        <v>39136766</v>
      </c>
      <c r="K24" s="64">
        <v>40212042</v>
      </c>
      <c r="L24" s="64">
        <v>41908102</v>
      </c>
      <c r="M24" s="64">
        <v>41916425</v>
      </c>
      <c r="N24" s="64">
        <f t="shared" ref="N24:N29" si="36">+E24+D24+F24+G24+H24+I24+J24+K24+L24+M24</f>
        <v>378032268</v>
      </c>
      <c r="O24" s="85">
        <f t="shared" si="34"/>
        <v>1.0396555463050612</v>
      </c>
      <c r="P24" s="64">
        <v>682605474.71062088</v>
      </c>
      <c r="Q24" s="93">
        <f t="shared" si="11"/>
        <v>0.50473370593904998</v>
      </c>
    </row>
    <row r="25" spans="1:19" ht="15.75" hidden="1" x14ac:dyDescent="0.25">
      <c r="A25" s="36" t="s">
        <v>61</v>
      </c>
      <c r="B25" s="35">
        <v>1814902100.5750124</v>
      </c>
      <c r="C25" s="35">
        <f t="shared" si="35"/>
        <v>151241841.71458438</v>
      </c>
      <c r="D25" s="64">
        <v>65872297</v>
      </c>
      <c r="E25" s="64">
        <v>139319012</v>
      </c>
      <c r="F25" s="64">
        <v>9037520</v>
      </c>
      <c r="G25" s="64">
        <v>83215374</v>
      </c>
      <c r="H25" s="64">
        <v>82515163</v>
      </c>
      <c r="I25" s="64">
        <v>88421625</v>
      </c>
      <c r="J25" s="64">
        <v>112279188</v>
      </c>
      <c r="K25" s="64">
        <v>116713691</v>
      </c>
      <c r="L25" s="78">
        <v>122699945</v>
      </c>
      <c r="M25" s="78">
        <v>121406367</v>
      </c>
      <c r="N25" s="64">
        <f t="shared" si="36"/>
        <v>941480182</v>
      </c>
      <c r="O25" s="85">
        <f t="shared" si="34"/>
        <v>0.69166645899832091</v>
      </c>
      <c r="P25" s="64">
        <v>2042723717.0332642</v>
      </c>
      <c r="Q25" s="93">
        <f t="shared" si="11"/>
        <v>0.80807816960972056</v>
      </c>
    </row>
    <row r="26" spans="1:19" ht="15.75" hidden="1" x14ac:dyDescent="0.25">
      <c r="A26" s="36" t="s">
        <v>62</v>
      </c>
      <c r="B26" s="35">
        <v>217788252.06900156</v>
      </c>
      <c r="C26" s="35">
        <f t="shared" si="35"/>
        <v>18149021.005750131</v>
      </c>
      <c r="D26" s="64">
        <v>650522</v>
      </c>
      <c r="E26" s="64">
        <v>2737236</v>
      </c>
      <c r="F26" s="64">
        <v>-1146057</v>
      </c>
      <c r="G26" s="64">
        <v>858518</v>
      </c>
      <c r="H26" s="64">
        <v>956518</v>
      </c>
      <c r="I26" s="64">
        <v>1224190</v>
      </c>
      <c r="J26" s="64">
        <v>1638414</v>
      </c>
      <c r="K26" s="64">
        <v>1939306</v>
      </c>
      <c r="L26" s="78">
        <v>2810673</v>
      </c>
      <c r="M26" s="78">
        <v>1451468</v>
      </c>
      <c r="N26" s="64">
        <f t="shared" si="36"/>
        <v>13120788</v>
      </c>
      <c r="O26" s="85">
        <f t="shared" si="34"/>
        <v>8.0327491652108382E-2</v>
      </c>
      <c r="P26" s="64">
        <v>244851422.62147045</v>
      </c>
      <c r="Q26" s="93">
        <f t="shared" si="11"/>
        <v>14.551112645411136</v>
      </c>
    </row>
    <row r="27" spans="1:19" ht="15.75" hidden="1" x14ac:dyDescent="0.25">
      <c r="A27" s="36" t="s">
        <v>63</v>
      </c>
      <c r="B27" s="35">
        <v>1814902100.5750124</v>
      </c>
      <c r="C27" s="35">
        <f t="shared" si="35"/>
        <v>151241841.71458438</v>
      </c>
      <c r="D27" s="64">
        <v>66693380</v>
      </c>
      <c r="E27" s="64">
        <v>138407169</v>
      </c>
      <c r="F27" s="64">
        <v>11144857</v>
      </c>
      <c r="G27" s="64">
        <v>79981849</v>
      </c>
      <c r="H27" s="64">
        <v>82482957</v>
      </c>
      <c r="I27" s="64">
        <v>103615121</v>
      </c>
      <c r="J27" s="64">
        <v>112405651</v>
      </c>
      <c r="K27" s="64">
        <v>116885914</v>
      </c>
      <c r="L27" s="78">
        <v>120131246</v>
      </c>
      <c r="M27" s="78">
        <v>121184658</v>
      </c>
      <c r="N27" s="64">
        <f t="shared" si="36"/>
        <v>952932802</v>
      </c>
      <c r="O27" s="85">
        <f t="shared" si="34"/>
        <v>0.70008022412381277</v>
      </c>
      <c r="P27" s="64">
        <v>2042723717.0332642</v>
      </c>
      <c r="Q27" s="93">
        <f t="shared" si="11"/>
        <v>0.7863481670708472</v>
      </c>
    </row>
    <row r="28" spans="1:19" ht="15.75" hidden="1" x14ac:dyDescent="0.25">
      <c r="A28" s="36" t="s">
        <v>64</v>
      </c>
      <c r="B28" s="35">
        <v>945762971.33555937</v>
      </c>
      <c r="C28" s="35">
        <f t="shared" si="35"/>
        <v>78813580.944629952</v>
      </c>
      <c r="D28" s="64">
        <v>58233130</v>
      </c>
      <c r="E28" s="64">
        <v>289954455</v>
      </c>
      <c r="F28" s="64">
        <v>-159503632</v>
      </c>
      <c r="G28" s="64">
        <v>45372536</v>
      </c>
      <c r="H28" s="64">
        <v>43667208</v>
      </c>
      <c r="I28" s="64">
        <v>43201067</v>
      </c>
      <c r="J28" s="64">
        <v>53656675</v>
      </c>
      <c r="K28" s="64">
        <v>57117692</v>
      </c>
      <c r="L28" s="78">
        <v>60759339</v>
      </c>
      <c r="M28" s="78">
        <v>61811596</v>
      </c>
      <c r="N28" s="64">
        <f t="shared" si="36"/>
        <v>554270066</v>
      </c>
      <c r="O28" s="85">
        <f t="shared" si="34"/>
        <v>0.78140800291964263</v>
      </c>
      <c r="P28" s="64">
        <v>1053319893.0355835</v>
      </c>
      <c r="Q28" s="93">
        <f t="shared" si="11"/>
        <v>0.58364420410474205</v>
      </c>
    </row>
    <row r="29" spans="1:19" ht="15.75" hidden="1" x14ac:dyDescent="0.25">
      <c r="A29" s="36" t="s">
        <v>65</v>
      </c>
      <c r="B29" s="35">
        <v>238291544.64503813</v>
      </c>
      <c r="C29" s="35">
        <f t="shared" si="35"/>
        <v>19857628.720419843</v>
      </c>
      <c r="D29" s="64">
        <v>15343595</v>
      </c>
      <c r="E29" s="64">
        <v>16504077</v>
      </c>
      <c r="F29" s="64">
        <v>18166227</v>
      </c>
      <c r="G29" s="64">
        <v>15010509</v>
      </c>
      <c r="H29" s="64">
        <v>24287774</v>
      </c>
      <c r="I29" s="64">
        <v>15548831</v>
      </c>
      <c r="J29" s="64">
        <v>22176322</v>
      </c>
      <c r="K29" s="64">
        <v>20728284</v>
      </c>
      <c r="L29" s="64">
        <v>21295106</v>
      </c>
      <c r="M29" s="64">
        <v>14655622</v>
      </c>
      <c r="N29" s="64">
        <f t="shared" si="36"/>
        <v>183716347</v>
      </c>
      <c r="O29" s="85">
        <f t="shared" si="34"/>
        <v>1.0279639997223626</v>
      </c>
      <c r="P29" s="64">
        <v>225009998.83999789</v>
      </c>
      <c r="Q29" s="93">
        <f t="shared" si="11"/>
        <v>2.0640435261130685E-2</v>
      </c>
    </row>
    <row r="30" spans="1:19" ht="15.75" hidden="1" x14ac:dyDescent="0.25">
      <c r="A30" s="36" t="s">
        <v>66</v>
      </c>
      <c r="B30" s="37">
        <v>0</v>
      </c>
      <c r="C30" s="35">
        <f t="shared" si="35"/>
        <v>0</v>
      </c>
      <c r="D30" s="64">
        <v>0</v>
      </c>
      <c r="E30" s="64">
        <v>69669059</v>
      </c>
      <c r="F30" s="64">
        <v>25388184</v>
      </c>
      <c r="G30" s="64">
        <v>0</v>
      </c>
      <c r="H30" s="64">
        <v>3428505</v>
      </c>
      <c r="I30" s="64">
        <v>0</v>
      </c>
      <c r="J30" s="64">
        <v>10388555</v>
      </c>
      <c r="K30" s="64">
        <v>4852190</v>
      </c>
      <c r="L30" s="64">
        <v>0</v>
      </c>
      <c r="M30" s="64">
        <v>2194855</v>
      </c>
      <c r="N30" s="64">
        <f>+E30+D30+F30+G30+H30+I30+J30+K30+L30+M30</f>
        <v>115921348</v>
      </c>
      <c r="O30" s="85" t="e">
        <f t="shared" si="34"/>
        <v>#DIV/0!</v>
      </c>
      <c r="P30" s="64">
        <v>244511959.94999999</v>
      </c>
      <c r="Q30" s="93">
        <f t="shared" si="11"/>
        <v>0.75774324695568551</v>
      </c>
    </row>
    <row r="31" spans="1:19" ht="15.75" hidden="1" x14ac:dyDescent="0.25">
      <c r="A31" s="36" t="s">
        <v>244</v>
      </c>
      <c r="B31" s="37"/>
      <c r="C31" s="35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5"/>
      <c r="P31" s="64">
        <v>156000000</v>
      </c>
      <c r="Q31" s="93" t="e">
        <f t="shared" si="11"/>
        <v>#DIV/0!</v>
      </c>
    </row>
    <row r="32" spans="1:19" ht="15.75" x14ac:dyDescent="0.2">
      <c r="A32" s="33" t="s">
        <v>34</v>
      </c>
      <c r="B32" s="55">
        <f>SUM(B33:B35)</f>
        <v>3847760664.8435416</v>
      </c>
      <c r="C32" s="55">
        <f>SUM(C33:C35)</f>
        <v>320646722.0702951</v>
      </c>
      <c r="D32" s="55">
        <f>SUM(D33:D35)</f>
        <v>1222791998</v>
      </c>
      <c r="E32" s="55">
        <f t="shared" ref="E32:N32" si="37">SUM(E33:E35)</f>
        <v>1151432780</v>
      </c>
      <c r="F32" s="55">
        <f t="shared" ref="F32:G32" si="38">SUM(F33:F35)</f>
        <v>1041397384</v>
      </c>
      <c r="G32" s="55">
        <f t="shared" si="38"/>
        <v>1056167622</v>
      </c>
      <c r="H32" s="55">
        <f t="shared" ref="H32:I32" si="39">SUM(H33:H35)</f>
        <v>1075923561</v>
      </c>
      <c r="I32" s="55">
        <f t="shared" si="39"/>
        <v>1110868379</v>
      </c>
      <c r="J32" s="55">
        <f t="shared" ref="J32:K32" si="40">SUM(J33:J35)</f>
        <v>689480249</v>
      </c>
      <c r="K32" s="55">
        <f t="shared" si="40"/>
        <v>733362748</v>
      </c>
      <c r="L32" s="55">
        <f t="shared" ref="L32:M32" si="41">SUM(L33:L35)</f>
        <v>740582320</v>
      </c>
      <c r="M32" s="55">
        <f t="shared" si="41"/>
        <v>752207844</v>
      </c>
      <c r="N32" s="55">
        <f t="shared" si="37"/>
        <v>9574214885</v>
      </c>
      <c r="O32" s="85">
        <f t="shared" si="34"/>
        <v>3.3176751255098509</v>
      </c>
      <c r="P32" s="55">
        <f>SUM(P33:P35)</f>
        <v>4757007288.3973866</v>
      </c>
      <c r="Q32" s="93">
        <f t="shared" si="11"/>
        <v>-0.58595323084487516</v>
      </c>
    </row>
    <row r="33" spans="1:18" ht="15.75" hidden="1" x14ac:dyDescent="0.25">
      <c r="A33" s="36" t="s">
        <v>67</v>
      </c>
      <c r="B33" s="35">
        <v>1924473527.6960814</v>
      </c>
      <c r="C33" s="35">
        <f t="shared" ref="C33:C35" si="42">+B33/12</f>
        <v>160372793.97467345</v>
      </c>
      <c r="D33" s="64">
        <v>784562695</v>
      </c>
      <c r="E33" s="64">
        <v>726453428</v>
      </c>
      <c r="F33" s="64">
        <v>680647442</v>
      </c>
      <c r="G33" s="64">
        <v>662357297</v>
      </c>
      <c r="H33" s="64">
        <v>703228565</v>
      </c>
      <c r="I33" s="64">
        <v>708698563</v>
      </c>
      <c r="J33" s="64">
        <v>315781783</v>
      </c>
      <c r="K33" s="64">
        <v>342761724</v>
      </c>
      <c r="L33" s="64">
        <v>376045477</v>
      </c>
      <c r="M33" s="64">
        <v>395894779</v>
      </c>
      <c r="N33" s="64">
        <f t="shared" ref="N33:N35" si="43">+E33+D33+F33+G33+H33+I33+J33+K33+L33+M33</f>
        <v>5696431753</v>
      </c>
      <c r="O33" s="85">
        <f t="shared" si="34"/>
        <v>3.9466598152826324</v>
      </c>
      <c r="P33" s="64">
        <f>6270997130.43229*0.5</f>
        <v>3135498565.216145</v>
      </c>
      <c r="Q33" s="93">
        <f t="shared" si="11"/>
        <v>-0.54130663118409617</v>
      </c>
    </row>
    <row r="34" spans="1:18" ht="15.75" hidden="1" x14ac:dyDescent="0.25">
      <c r="A34" s="36" t="s">
        <v>68</v>
      </c>
      <c r="B34" s="35">
        <v>1923287137.1474602</v>
      </c>
      <c r="C34" s="35">
        <f t="shared" si="42"/>
        <v>160273928.09562168</v>
      </c>
      <c r="D34" s="64">
        <v>438229303</v>
      </c>
      <c r="E34" s="64">
        <v>424979352</v>
      </c>
      <c r="F34" s="64">
        <v>360749942</v>
      </c>
      <c r="G34" s="64">
        <v>393810325</v>
      </c>
      <c r="H34" s="64">
        <v>372694996</v>
      </c>
      <c r="I34" s="64">
        <v>402169816</v>
      </c>
      <c r="J34" s="64">
        <v>373698466</v>
      </c>
      <c r="K34" s="64">
        <v>390601024</v>
      </c>
      <c r="L34" s="64">
        <v>364536843</v>
      </c>
      <c r="M34" s="64">
        <v>356313065</v>
      </c>
      <c r="N34" s="64">
        <f t="shared" si="43"/>
        <v>3877783132</v>
      </c>
      <c r="O34" s="85">
        <f t="shared" si="34"/>
        <v>2.6883024429736602</v>
      </c>
      <c r="P34" s="64">
        <v>1621508723.1812413</v>
      </c>
      <c r="Q34" s="93">
        <f t="shared" si="11"/>
        <v>-0.65153872114019462</v>
      </c>
    </row>
    <row r="35" spans="1:18" ht="15.75" hidden="1" x14ac:dyDescent="0.25">
      <c r="A35" s="36" t="s">
        <v>69</v>
      </c>
      <c r="B35" s="35">
        <v>0</v>
      </c>
      <c r="C35" s="35">
        <f t="shared" si="42"/>
        <v>0</v>
      </c>
      <c r="D35" s="64">
        <v>0</v>
      </c>
      <c r="E35" s="64"/>
      <c r="F35" s="64"/>
      <c r="G35" s="64"/>
      <c r="H35" s="64"/>
      <c r="I35" s="64"/>
      <c r="J35" s="64">
        <v>0</v>
      </c>
      <c r="K35" s="64">
        <v>0</v>
      </c>
      <c r="L35" s="64">
        <v>0</v>
      </c>
      <c r="M35" s="64">
        <v>0</v>
      </c>
      <c r="N35" s="64">
        <f t="shared" si="43"/>
        <v>0</v>
      </c>
      <c r="O35" s="85" t="e">
        <f t="shared" si="34"/>
        <v>#DIV/0!</v>
      </c>
      <c r="P35" s="64">
        <v>0</v>
      </c>
      <c r="Q35" s="93" t="e">
        <f t="shared" si="11"/>
        <v>#DIV/0!</v>
      </c>
    </row>
    <row r="36" spans="1:18" ht="15.75" x14ac:dyDescent="0.2">
      <c r="A36" s="56" t="s">
        <v>35</v>
      </c>
      <c r="B36" s="57">
        <f>SUM(B37:B42)</f>
        <v>7063012058.0975809</v>
      </c>
      <c r="C36" s="57">
        <f>SUM(C37:C42)</f>
        <v>588584338.17479837</v>
      </c>
      <c r="D36" s="57">
        <f>SUM(D37:D42)</f>
        <v>294933345</v>
      </c>
      <c r="E36" s="57">
        <f t="shared" ref="E36:N36" si="44">SUM(E37:E42)</f>
        <v>299458072</v>
      </c>
      <c r="F36" s="57">
        <f t="shared" ref="F36:G36" si="45">SUM(F37:F42)</f>
        <v>294490206</v>
      </c>
      <c r="G36" s="57">
        <f t="shared" si="45"/>
        <v>307353328</v>
      </c>
      <c r="H36" s="57">
        <f t="shared" ref="H36:I36" si="46">SUM(H37:H42)</f>
        <v>327445398</v>
      </c>
      <c r="I36" s="57">
        <f t="shared" si="46"/>
        <v>340860980</v>
      </c>
      <c r="J36" s="57">
        <f t="shared" ref="J36:K36" si="47">SUM(J37:J42)</f>
        <v>432468150</v>
      </c>
      <c r="K36" s="57">
        <f t="shared" si="47"/>
        <v>443867797</v>
      </c>
      <c r="L36" s="57">
        <f t="shared" ref="L36:M36" si="48">SUM(L37:L42)</f>
        <v>462659756</v>
      </c>
      <c r="M36" s="57">
        <f t="shared" si="48"/>
        <v>471872089</v>
      </c>
      <c r="N36" s="57">
        <f t="shared" si="44"/>
        <v>3675409121</v>
      </c>
      <c r="O36" s="85">
        <f t="shared" si="34"/>
        <v>0.69383224244227426</v>
      </c>
      <c r="P36" s="57">
        <f>SUM(P37:P42)</f>
        <v>7786794985.5896358</v>
      </c>
      <c r="Q36" s="93">
        <f t="shared" si="11"/>
        <v>0.7655166017434214</v>
      </c>
    </row>
    <row r="37" spans="1:18" ht="15.75" hidden="1" x14ac:dyDescent="0.25">
      <c r="A37" s="36" t="s">
        <v>70</v>
      </c>
      <c r="B37" s="35">
        <v>917007430.53435898</v>
      </c>
      <c r="C37" s="35">
        <f t="shared" ref="C37:C42" si="49">+B37/12</f>
        <v>76417285.877863243</v>
      </c>
      <c r="D37" s="64">
        <v>37656800</v>
      </c>
      <c r="E37" s="64">
        <v>40212690</v>
      </c>
      <c r="F37" s="64">
        <v>37926600</v>
      </c>
      <c r="G37" s="64">
        <v>39620100</v>
      </c>
      <c r="H37" s="64">
        <v>41398300</v>
      </c>
      <c r="I37" s="64">
        <v>44013000</v>
      </c>
      <c r="J37" s="64">
        <v>56281000</v>
      </c>
      <c r="K37" s="64">
        <v>57582900</v>
      </c>
      <c r="L37" s="78">
        <v>59676100</v>
      </c>
      <c r="M37" s="78">
        <v>60684400</v>
      </c>
      <c r="N37" s="64">
        <f t="shared" ref="N37:N42" si="50">+E37+D37+F37+G37+H37+I37+J37+K37+L37+M37</f>
        <v>475051890</v>
      </c>
      <c r="O37" s="85">
        <f t="shared" si="34"/>
        <v>0.69072779446389376</v>
      </c>
      <c r="P37" s="64">
        <v>999646712.24298859</v>
      </c>
      <c r="Q37" s="93">
        <f t="shared" si="11"/>
        <v>0.75357459764902135</v>
      </c>
    </row>
    <row r="38" spans="1:18" ht="15.75" hidden="1" x14ac:dyDescent="0.25">
      <c r="A38" s="36" t="s">
        <v>71</v>
      </c>
      <c r="B38" s="35">
        <v>687755572.90076923</v>
      </c>
      <c r="C38" s="35">
        <f t="shared" si="49"/>
        <v>57312964.408397436</v>
      </c>
      <c r="D38" s="64">
        <v>28240850</v>
      </c>
      <c r="E38" s="64">
        <v>29626272</v>
      </c>
      <c r="F38" s="64">
        <v>28450900</v>
      </c>
      <c r="G38" s="64">
        <v>29719000</v>
      </c>
      <c r="H38" s="64">
        <v>31053500</v>
      </c>
      <c r="I38" s="64">
        <v>33016400</v>
      </c>
      <c r="J38" s="64">
        <v>42217700</v>
      </c>
      <c r="K38" s="64">
        <v>43193100</v>
      </c>
      <c r="L38" s="78">
        <v>44765600</v>
      </c>
      <c r="M38" s="78">
        <v>45520900</v>
      </c>
      <c r="N38" s="64">
        <f t="shared" si="50"/>
        <v>355804222</v>
      </c>
      <c r="O38" s="85">
        <f t="shared" si="34"/>
        <v>0.68978812826251212</v>
      </c>
      <c r="P38" s="64">
        <v>749735034.18224132</v>
      </c>
      <c r="Q38" s="93">
        <f t="shared" si="11"/>
        <v>0.75596341055185046</v>
      </c>
    </row>
    <row r="39" spans="1:18" ht="15.75" hidden="1" x14ac:dyDescent="0.25">
      <c r="A39" s="36" t="s">
        <v>72</v>
      </c>
      <c r="B39" s="35">
        <v>458503715.26717949</v>
      </c>
      <c r="C39" s="35">
        <f t="shared" si="49"/>
        <v>38208642.938931622</v>
      </c>
      <c r="D39" s="64">
        <v>18830400</v>
      </c>
      <c r="E39" s="64">
        <v>19757911</v>
      </c>
      <c r="F39" s="64">
        <v>18975200</v>
      </c>
      <c r="G39" s="64">
        <v>19820600</v>
      </c>
      <c r="H39" s="64">
        <v>20710600</v>
      </c>
      <c r="I39" s="64">
        <v>22018600</v>
      </c>
      <c r="J39" s="64">
        <v>28155300</v>
      </c>
      <c r="K39" s="64">
        <v>28804700</v>
      </c>
      <c r="L39" s="78">
        <v>29851800</v>
      </c>
      <c r="M39" s="78">
        <v>30357100</v>
      </c>
      <c r="N39" s="64">
        <f t="shared" si="50"/>
        <v>237282211</v>
      </c>
      <c r="O39" s="85">
        <f t="shared" si="34"/>
        <v>0.6900190135841634</v>
      </c>
      <c r="P39" s="64">
        <v>499823356.12149429</v>
      </c>
      <c r="Q39" s="93">
        <f t="shared" si="11"/>
        <v>0.75537585257319817</v>
      </c>
    </row>
    <row r="40" spans="1:18" ht="15.75" hidden="1" x14ac:dyDescent="0.25">
      <c r="A40" s="36" t="s">
        <v>73</v>
      </c>
      <c r="B40" s="35">
        <v>1995512009.1505134</v>
      </c>
      <c r="C40" s="35">
        <f t="shared" si="49"/>
        <v>166292667.42920944</v>
      </c>
      <c r="D40" s="64">
        <v>83389660</v>
      </c>
      <c r="E40" s="64">
        <v>81986905</v>
      </c>
      <c r="F40" s="64">
        <v>81657256</v>
      </c>
      <c r="G40" s="64">
        <v>85122128</v>
      </c>
      <c r="H40" s="64">
        <v>93900158</v>
      </c>
      <c r="I40" s="64">
        <v>95596320</v>
      </c>
      <c r="J40" s="64">
        <v>121514790</v>
      </c>
      <c r="K40" s="64">
        <v>124782112</v>
      </c>
      <c r="L40" s="78">
        <v>128990371</v>
      </c>
      <c r="M40" s="78">
        <v>131539764</v>
      </c>
      <c r="N40" s="64">
        <f t="shared" si="50"/>
        <v>1028479464</v>
      </c>
      <c r="O40" s="85">
        <f t="shared" si="34"/>
        <v>0.68719503852235042</v>
      </c>
      <c r="P40" s="64">
        <v>2177868045.5185719</v>
      </c>
      <c r="Q40" s="93">
        <f t="shared" si="11"/>
        <v>0.76463420171133611</v>
      </c>
    </row>
    <row r="41" spans="1:18" ht="15.75" hidden="1" x14ac:dyDescent="0.25">
      <c r="A41" s="36" t="s">
        <v>74</v>
      </c>
      <c r="B41" s="35">
        <v>2751022291.6030769</v>
      </c>
      <c r="C41" s="35">
        <f t="shared" si="49"/>
        <v>229251857.63358974</v>
      </c>
      <c r="D41" s="64">
        <v>113897400</v>
      </c>
      <c r="E41" s="64">
        <v>113087511</v>
      </c>
      <c r="F41" s="64">
        <v>112609950</v>
      </c>
      <c r="G41" s="64">
        <v>118756800</v>
      </c>
      <c r="H41" s="64">
        <v>125553540</v>
      </c>
      <c r="I41" s="64">
        <v>131402360</v>
      </c>
      <c r="J41" s="64">
        <v>167579660</v>
      </c>
      <c r="K41" s="64">
        <v>172476585</v>
      </c>
      <c r="L41" s="78">
        <v>178283585</v>
      </c>
      <c r="M41" s="78">
        <v>182220825</v>
      </c>
      <c r="N41" s="64">
        <f t="shared" si="50"/>
        <v>1415868216</v>
      </c>
      <c r="O41" s="85">
        <f t="shared" si="34"/>
        <v>0.68622645980084962</v>
      </c>
      <c r="P41" s="64">
        <v>2998940136.7289653</v>
      </c>
      <c r="Q41" s="93">
        <f t="shared" si="11"/>
        <v>0.76507725250573122</v>
      </c>
    </row>
    <row r="42" spans="1:18" ht="15.75" hidden="1" x14ac:dyDescent="0.25">
      <c r="A42" s="36" t="s">
        <v>256</v>
      </c>
      <c r="B42" s="35">
        <v>253211038.64168236</v>
      </c>
      <c r="C42" s="35">
        <f t="shared" si="49"/>
        <v>21100919.886806864</v>
      </c>
      <c r="D42" s="64">
        <v>12918235</v>
      </c>
      <c r="E42" s="64">
        <v>14786783</v>
      </c>
      <c r="F42" s="64">
        <v>14870300</v>
      </c>
      <c r="G42" s="64">
        <v>14314700</v>
      </c>
      <c r="H42" s="64">
        <v>14829300</v>
      </c>
      <c r="I42" s="64">
        <v>14814300</v>
      </c>
      <c r="J42" s="64">
        <v>16719700</v>
      </c>
      <c r="K42" s="64">
        <v>17028400</v>
      </c>
      <c r="L42" s="78">
        <v>21092300</v>
      </c>
      <c r="M42" s="78">
        <v>21549100</v>
      </c>
      <c r="N42" s="64">
        <f t="shared" si="50"/>
        <v>162923118</v>
      </c>
      <c r="O42" s="85">
        <f t="shared" si="34"/>
        <v>0.85790424132101994</v>
      </c>
      <c r="P42" s="64">
        <v>360781700.79537416</v>
      </c>
      <c r="Q42" s="93">
        <f t="shared" si="11"/>
        <v>0.84535762033156292</v>
      </c>
    </row>
    <row r="43" spans="1:18" customFormat="1" ht="15.75" x14ac:dyDescent="0.25">
      <c r="A43" s="52" t="s">
        <v>36</v>
      </c>
      <c r="B43" s="52">
        <f t="shared" ref="B43:N43" si="51">B44+B58</f>
        <v>38841283075.577339</v>
      </c>
      <c r="C43" s="52">
        <f t="shared" si="51"/>
        <v>3236773589.6314449</v>
      </c>
      <c r="D43" s="52">
        <f t="shared" si="51"/>
        <v>1624528045</v>
      </c>
      <c r="E43" s="52">
        <f t="shared" si="51"/>
        <v>2038905099</v>
      </c>
      <c r="F43" s="52">
        <f t="shared" si="51"/>
        <v>2680885041</v>
      </c>
      <c r="G43" s="52">
        <f t="shared" si="51"/>
        <v>1676652990</v>
      </c>
      <c r="H43" s="52">
        <f t="shared" si="51"/>
        <v>2041999520</v>
      </c>
      <c r="I43" s="52">
        <f t="shared" si="51"/>
        <v>1312385822</v>
      </c>
      <c r="J43" s="52">
        <f t="shared" si="51"/>
        <v>1669630354</v>
      </c>
      <c r="K43" s="52">
        <f t="shared" si="51"/>
        <v>1929413330</v>
      </c>
      <c r="L43" s="52">
        <f t="shared" si="51"/>
        <v>1758652365</v>
      </c>
      <c r="M43" s="52">
        <f t="shared" ref="M43" si="52">M44+M58</f>
        <v>1861617060</v>
      </c>
      <c r="N43" s="52">
        <f t="shared" si="51"/>
        <v>18594669626</v>
      </c>
      <c r="O43" s="85">
        <f t="shared" ref="O43:O56" si="53">+N43/((B43/12)*10)</f>
        <v>0.57448162842051864</v>
      </c>
      <c r="P43" s="52">
        <f>+P44+P58</f>
        <v>29263550587.584335</v>
      </c>
      <c r="Q43" s="93">
        <f t="shared" si="11"/>
        <v>0.31146681531906029</v>
      </c>
      <c r="R43" s="101">
        <f>+P43/P20</f>
        <v>0.65552066321673907</v>
      </c>
    </row>
    <row r="44" spans="1:18" ht="15.75" x14ac:dyDescent="0.2">
      <c r="A44" s="58" t="s">
        <v>37</v>
      </c>
      <c r="B44" s="58">
        <f>B45+B51+B53</f>
        <v>1636034120.0239999</v>
      </c>
      <c r="C44" s="58">
        <f>C45+C51+C53</f>
        <v>136336176.66866666</v>
      </c>
      <c r="D44" s="58">
        <f>D45+D51+D53</f>
        <v>88866048</v>
      </c>
      <c r="E44" s="58">
        <f t="shared" ref="E44:F44" si="54">E45+E51+E53</f>
        <v>51350144</v>
      </c>
      <c r="F44" s="58">
        <f t="shared" si="54"/>
        <v>95373308</v>
      </c>
      <c r="G44" s="58">
        <f t="shared" ref="G44:H44" si="55">G45+G51+G53</f>
        <v>37267357</v>
      </c>
      <c r="H44" s="58">
        <f t="shared" si="55"/>
        <v>41278891</v>
      </c>
      <c r="I44" s="58">
        <f t="shared" ref="I44:J44" si="56">I45+I51+I53</f>
        <v>45145388</v>
      </c>
      <c r="J44" s="58">
        <f t="shared" si="56"/>
        <v>106264483</v>
      </c>
      <c r="K44" s="58">
        <f t="shared" ref="K44:L44" si="57">K45+K51+K53</f>
        <v>60573804</v>
      </c>
      <c r="L44" s="58">
        <f t="shared" si="57"/>
        <v>45799089</v>
      </c>
      <c r="M44" s="58">
        <f t="shared" ref="M44" si="58">M45+M51+M53</f>
        <v>74911036</v>
      </c>
      <c r="N44" s="58">
        <f>N45+N51+N53</f>
        <v>646829548</v>
      </c>
      <c r="O44" s="85">
        <f t="shared" si="53"/>
        <v>0.47443720647379506</v>
      </c>
      <c r="P44" s="58">
        <f>+P45+P51+P53</f>
        <v>1256688735.9730828</v>
      </c>
      <c r="Q44" s="93">
        <f t="shared" si="11"/>
        <v>0.61903644715825878</v>
      </c>
    </row>
    <row r="45" spans="1:18" ht="15.75" hidden="1" x14ac:dyDescent="0.2">
      <c r="A45" s="48" t="s">
        <v>75</v>
      </c>
      <c r="B45" s="48">
        <f t="shared" ref="B45:H45" si="59">SUM(B46:B50)</f>
        <v>687000000</v>
      </c>
      <c r="C45" s="48">
        <f t="shared" ref="C45" si="60">SUM(C46:C50)</f>
        <v>57249999.999999993</v>
      </c>
      <c r="D45" s="48">
        <f t="shared" si="59"/>
        <v>0</v>
      </c>
      <c r="E45" s="48">
        <f t="shared" si="59"/>
        <v>0</v>
      </c>
      <c r="F45" s="48">
        <f t="shared" si="59"/>
        <v>0</v>
      </c>
      <c r="G45" s="48">
        <f t="shared" si="59"/>
        <v>0</v>
      </c>
      <c r="H45" s="48">
        <f t="shared" si="59"/>
        <v>0</v>
      </c>
      <c r="I45" s="48">
        <f t="shared" ref="I45:J45" si="61">SUM(I46:I50)</f>
        <v>0</v>
      </c>
      <c r="J45" s="48">
        <f t="shared" si="61"/>
        <v>0</v>
      </c>
      <c r="K45" s="48">
        <f t="shared" ref="K45:L45" si="62">SUM(K46:K50)</f>
        <v>0</v>
      </c>
      <c r="L45" s="48">
        <f t="shared" si="62"/>
        <v>0</v>
      </c>
      <c r="M45" s="48">
        <f t="shared" ref="M45" si="63">SUM(M46:M50)</f>
        <v>0</v>
      </c>
      <c r="N45" s="64">
        <f>+E45+D45+F45+G45+H45+I45+J45</f>
        <v>0</v>
      </c>
      <c r="O45" s="85">
        <f t="shared" si="53"/>
        <v>0</v>
      </c>
      <c r="P45" s="64">
        <f>SUM(P46:P50)</f>
        <v>326276749.71188009</v>
      </c>
      <c r="Q45" s="93"/>
    </row>
    <row r="46" spans="1:18" ht="15.75" hidden="1" x14ac:dyDescent="0.25">
      <c r="A46" s="36" t="s">
        <v>76</v>
      </c>
      <c r="B46" s="38">
        <v>250000000</v>
      </c>
      <c r="C46" s="35">
        <f t="shared" ref="C46:C50" si="64">+B46/12</f>
        <v>20833333.333333332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f t="shared" ref="N46:N50" si="65">+E46+D46+F46+G46+H46+I46+J46+K46+L46</f>
        <v>0</v>
      </c>
      <c r="O46" s="85">
        <f t="shared" si="53"/>
        <v>0</v>
      </c>
      <c r="P46" s="64">
        <v>118032932.71230805</v>
      </c>
      <c r="Q46" s="93"/>
    </row>
    <row r="47" spans="1:18" ht="15.75" hidden="1" x14ac:dyDescent="0.25">
      <c r="A47" s="36" t="s">
        <v>77</v>
      </c>
      <c r="B47" s="38">
        <v>250000000</v>
      </c>
      <c r="C47" s="35">
        <f t="shared" si="64"/>
        <v>20833333.333333332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f t="shared" si="65"/>
        <v>0</v>
      </c>
      <c r="O47" s="85">
        <f t="shared" si="53"/>
        <v>0</v>
      </c>
      <c r="P47" s="64">
        <v>21077309.41291216</v>
      </c>
      <c r="Q47" s="93"/>
    </row>
    <row r="48" spans="1:18" ht="15.75" hidden="1" x14ac:dyDescent="0.25">
      <c r="A48" s="36" t="s">
        <v>78</v>
      </c>
      <c r="B48" s="38">
        <v>20000000</v>
      </c>
      <c r="C48" s="35">
        <f t="shared" si="64"/>
        <v>1666666.6666666667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f t="shared" si="65"/>
        <v>0</v>
      </c>
      <c r="O48" s="85">
        <f t="shared" si="53"/>
        <v>0</v>
      </c>
      <c r="P48" s="64">
        <v>31194417.93110998</v>
      </c>
      <c r="Q48" s="93"/>
    </row>
    <row r="49" spans="1:17" ht="15.75" hidden="1" x14ac:dyDescent="0.25">
      <c r="A49" s="36" t="s">
        <v>79</v>
      </c>
      <c r="B49" s="38">
        <v>165000000</v>
      </c>
      <c r="C49" s="35">
        <f t="shared" si="64"/>
        <v>13750000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f t="shared" si="65"/>
        <v>0</v>
      </c>
      <c r="O49" s="85">
        <f t="shared" si="53"/>
        <v>0</v>
      </c>
      <c r="P49" s="64">
        <v>139110242.12522021</v>
      </c>
      <c r="Q49" s="93"/>
    </row>
    <row r="50" spans="1:17" ht="15.75" hidden="1" x14ac:dyDescent="0.25">
      <c r="A50" s="36" t="s">
        <v>80</v>
      </c>
      <c r="B50" s="38">
        <v>2000000</v>
      </c>
      <c r="C50" s="35">
        <f t="shared" si="64"/>
        <v>166666.66666666666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f t="shared" si="65"/>
        <v>0</v>
      </c>
      <c r="O50" s="85">
        <f t="shared" si="53"/>
        <v>0</v>
      </c>
      <c r="P50" s="64">
        <v>16861847.530329719</v>
      </c>
      <c r="Q50" s="93"/>
    </row>
    <row r="51" spans="1:17" ht="15.75" hidden="1" x14ac:dyDescent="0.2">
      <c r="A51" s="48" t="s">
        <v>81</v>
      </c>
      <c r="B51" s="48">
        <f>B52</f>
        <v>120000000</v>
      </c>
      <c r="C51" s="48">
        <f>C52</f>
        <v>10000000</v>
      </c>
      <c r="D51" s="48">
        <f>D52</f>
        <v>39810000</v>
      </c>
      <c r="E51" s="48">
        <f t="shared" ref="E51:N51" si="66">E52</f>
        <v>90000</v>
      </c>
      <c r="F51" s="48">
        <f t="shared" si="66"/>
        <v>16193259</v>
      </c>
      <c r="G51" s="48">
        <f t="shared" si="66"/>
        <v>0</v>
      </c>
      <c r="H51" s="48">
        <f t="shared" si="66"/>
        <v>360000</v>
      </c>
      <c r="I51" s="48">
        <f t="shared" si="66"/>
        <v>0</v>
      </c>
      <c r="J51" s="48">
        <f t="shared" si="66"/>
        <v>18865000</v>
      </c>
      <c r="K51" s="48">
        <f t="shared" si="66"/>
        <v>11930000</v>
      </c>
      <c r="L51" s="48">
        <f t="shared" si="66"/>
        <v>240000</v>
      </c>
      <c r="M51" s="48">
        <f t="shared" si="66"/>
        <v>0</v>
      </c>
      <c r="N51" s="48">
        <f t="shared" si="66"/>
        <v>87488259</v>
      </c>
      <c r="O51" s="85">
        <f t="shared" si="53"/>
        <v>0.87488259000000002</v>
      </c>
      <c r="P51" s="48">
        <f>SUM(P52)</f>
        <v>309583520.65685368</v>
      </c>
      <c r="Q51" s="93">
        <f t="shared" si="11"/>
        <v>1.9488101622189635</v>
      </c>
    </row>
    <row r="52" spans="1:17" ht="15.75" hidden="1" x14ac:dyDescent="0.25">
      <c r="A52" s="36" t="s">
        <v>82</v>
      </c>
      <c r="B52" s="38">
        <v>120000000</v>
      </c>
      <c r="C52" s="35">
        <f t="shared" ref="C52" si="67">+B52/12</f>
        <v>10000000</v>
      </c>
      <c r="D52" s="64">
        <v>39810000</v>
      </c>
      <c r="E52" s="64">
        <v>90000</v>
      </c>
      <c r="F52" s="64">
        <v>16193259</v>
      </c>
      <c r="G52" s="64">
        <v>0</v>
      </c>
      <c r="H52" s="64">
        <v>360000</v>
      </c>
      <c r="I52" s="64">
        <v>0</v>
      </c>
      <c r="J52" s="64">
        <v>18865000</v>
      </c>
      <c r="K52" s="64">
        <v>11930000</v>
      </c>
      <c r="L52" s="64">
        <v>240000</v>
      </c>
      <c r="M52" s="64">
        <v>0</v>
      </c>
      <c r="N52" s="64">
        <f>+E52+D52+F52+G52+H52+I52+J52+K52+L52+M52</f>
        <v>87488259</v>
      </c>
      <c r="O52" s="85">
        <f t="shared" si="53"/>
        <v>0.87488259000000002</v>
      </c>
      <c r="P52" s="64">
        <v>309583520.65685368</v>
      </c>
      <c r="Q52" s="93">
        <f t="shared" si="11"/>
        <v>1.9488101622189635</v>
      </c>
    </row>
    <row r="53" spans="1:17" ht="15.75" hidden="1" x14ac:dyDescent="0.2">
      <c r="A53" s="48" t="s">
        <v>83</v>
      </c>
      <c r="B53" s="48">
        <f>SUM(B54:B57)</f>
        <v>829034120.02399993</v>
      </c>
      <c r="C53" s="48">
        <f>SUM(C54:C57)</f>
        <v>69086176.668666661</v>
      </c>
      <c r="D53" s="48">
        <f>SUM(D54:D57)</f>
        <v>49056048</v>
      </c>
      <c r="E53" s="48">
        <f t="shared" ref="E53:N53" si="68">SUM(E54:E57)</f>
        <v>51260144</v>
      </c>
      <c r="F53" s="48">
        <f t="shared" ref="F53:G53" si="69">SUM(F54:F57)</f>
        <v>79180049</v>
      </c>
      <c r="G53" s="48">
        <f t="shared" si="69"/>
        <v>37267357</v>
      </c>
      <c r="H53" s="48">
        <f t="shared" ref="H53:I53" si="70">SUM(H54:H57)</f>
        <v>40918891</v>
      </c>
      <c r="I53" s="48">
        <f t="shared" si="70"/>
        <v>45145388</v>
      </c>
      <c r="J53" s="48">
        <f t="shared" ref="J53:K53" si="71">SUM(J54:J57)</f>
        <v>87399483</v>
      </c>
      <c r="K53" s="48">
        <f t="shared" si="71"/>
        <v>48643804</v>
      </c>
      <c r="L53" s="48">
        <f t="shared" ref="L53:M53" si="72">SUM(L54:L57)</f>
        <v>45559089</v>
      </c>
      <c r="M53" s="48">
        <f t="shared" si="72"/>
        <v>74911036</v>
      </c>
      <c r="N53" s="48">
        <f t="shared" si="68"/>
        <v>559341289</v>
      </c>
      <c r="O53" s="85">
        <f t="shared" si="53"/>
        <v>0.80962837425867218</v>
      </c>
      <c r="P53" s="48">
        <f>SUM(P54:P57)</f>
        <v>620828465.60434902</v>
      </c>
      <c r="Q53" s="93">
        <f t="shared" si="11"/>
        <v>-7.5060137979031105E-2</v>
      </c>
    </row>
    <row r="54" spans="1:17" ht="15.75" hidden="1" x14ac:dyDescent="0.25">
      <c r="A54" s="36" t="s">
        <v>151</v>
      </c>
      <c r="B54" s="38">
        <v>590931342.49066663</v>
      </c>
      <c r="C54" s="35">
        <f t="shared" ref="C54:C56" si="73">+B54/12</f>
        <v>49244278.540888883</v>
      </c>
      <c r="D54" s="64">
        <f>26167406+102000</f>
        <v>26269406</v>
      </c>
      <c r="E54" s="64">
        <v>12461975</v>
      </c>
      <c r="F54" s="64">
        <v>29050734</v>
      </c>
      <c r="G54" s="64">
        <v>18254750</v>
      </c>
      <c r="H54" s="64">
        <v>20265492</v>
      </c>
      <c r="I54" s="64">
        <v>17384472</v>
      </c>
      <c r="J54" s="64">
        <v>40232101</v>
      </c>
      <c r="K54" s="64">
        <v>14425983</v>
      </c>
      <c r="L54" s="64">
        <v>21296539</v>
      </c>
      <c r="M54" s="64">
        <v>34913309</v>
      </c>
      <c r="N54" s="64">
        <f t="shared" ref="N54:N57" si="74">+E54+D54+F54+G54+H54+I54+J54+K54+L54+M54</f>
        <v>234554761</v>
      </c>
      <c r="O54" s="85">
        <f t="shared" si="53"/>
        <v>0.47630865544155088</v>
      </c>
      <c r="P54" s="64">
        <v>288961631.74114954</v>
      </c>
      <c r="Q54" s="93">
        <f t="shared" si="11"/>
        <v>2.6631728802517296E-2</v>
      </c>
    </row>
    <row r="55" spans="1:17" ht="15.75" hidden="1" x14ac:dyDescent="0.25">
      <c r="A55" s="36" t="s">
        <v>84</v>
      </c>
      <c r="B55" s="38">
        <v>50000000</v>
      </c>
      <c r="C55" s="35">
        <f t="shared" si="73"/>
        <v>4166666.6666666665</v>
      </c>
      <c r="D55" s="64">
        <v>8941159</v>
      </c>
      <c r="E55" s="64">
        <v>26227600</v>
      </c>
      <c r="F55" s="64">
        <v>29730788</v>
      </c>
      <c r="G55" s="64">
        <v>11415833</v>
      </c>
      <c r="H55" s="64">
        <v>6803799</v>
      </c>
      <c r="I55" s="64">
        <v>14149122</v>
      </c>
      <c r="J55" s="64">
        <v>31983403</v>
      </c>
      <c r="K55" s="64">
        <v>17096981</v>
      </c>
      <c r="L55" s="64">
        <v>7045152</v>
      </c>
      <c r="M55" s="64">
        <v>25414548</v>
      </c>
      <c r="N55" s="64">
        <f t="shared" si="74"/>
        <v>178808385</v>
      </c>
      <c r="O55" s="85">
        <f t="shared" si="53"/>
        <v>4.2914012399999999</v>
      </c>
      <c r="P55" s="64">
        <v>103278816.12326954</v>
      </c>
      <c r="Q55" s="93">
        <f t="shared" si="11"/>
        <v>-0.51867089396996335</v>
      </c>
    </row>
    <row r="56" spans="1:17" ht="15.75" hidden="1" x14ac:dyDescent="0.25">
      <c r="A56" s="36" t="s">
        <v>85</v>
      </c>
      <c r="B56" s="38">
        <v>188102777.53333336</v>
      </c>
      <c r="C56" s="35">
        <f t="shared" si="73"/>
        <v>15675231.461111113</v>
      </c>
      <c r="D56" s="64">
        <v>13845483</v>
      </c>
      <c r="E56" s="64">
        <v>12570569</v>
      </c>
      <c r="F56" s="64">
        <v>20398527</v>
      </c>
      <c r="G56" s="64">
        <v>7596774</v>
      </c>
      <c r="H56" s="64">
        <v>13849600</v>
      </c>
      <c r="I56" s="64">
        <v>13611794</v>
      </c>
      <c r="J56" s="64">
        <v>15183979</v>
      </c>
      <c r="K56" s="64">
        <v>17120840</v>
      </c>
      <c r="L56" s="64">
        <v>17217398</v>
      </c>
      <c r="M56" s="64">
        <v>14583179</v>
      </c>
      <c r="N56" s="64">
        <f t="shared" si="74"/>
        <v>145978143</v>
      </c>
      <c r="O56" s="85">
        <f t="shared" si="53"/>
        <v>0.93126626781977084</v>
      </c>
      <c r="P56" s="64">
        <v>158588017.73992991</v>
      </c>
      <c r="Q56" s="93">
        <f t="shared" si="11"/>
        <v>-9.4681719235587325E-2</v>
      </c>
    </row>
    <row r="57" spans="1:17" ht="15.75" hidden="1" x14ac:dyDescent="0.2">
      <c r="A57" s="88" t="s">
        <v>86</v>
      </c>
      <c r="B57" s="39">
        <v>0</v>
      </c>
      <c r="C57" s="39"/>
      <c r="D57" s="64">
        <v>0</v>
      </c>
      <c r="E57" s="64">
        <v>0</v>
      </c>
      <c r="F57" s="64"/>
      <c r="G57" s="64"/>
      <c r="H57" s="64"/>
      <c r="I57" s="64"/>
      <c r="J57" s="64"/>
      <c r="K57" s="64"/>
      <c r="L57" s="64"/>
      <c r="M57" s="64"/>
      <c r="N57" s="64">
        <f t="shared" si="74"/>
        <v>0</v>
      </c>
      <c r="O57" s="85"/>
      <c r="P57" s="64">
        <v>70000000</v>
      </c>
      <c r="Q57" s="93"/>
    </row>
    <row r="58" spans="1:17" ht="15.75" x14ac:dyDescent="0.2">
      <c r="A58" s="58" t="s">
        <v>38</v>
      </c>
      <c r="B58" s="58">
        <f t="shared" ref="B58:N58" si="75">B59+B82+B87+B96+B101+B106+B110+B115+B119</f>
        <v>37205248955.553337</v>
      </c>
      <c r="C58" s="58">
        <f t="shared" si="75"/>
        <v>3100437412.9627781</v>
      </c>
      <c r="D58" s="58">
        <f t="shared" si="75"/>
        <v>1535661997</v>
      </c>
      <c r="E58" s="58">
        <f t="shared" si="75"/>
        <v>1987554955</v>
      </c>
      <c r="F58" s="58">
        <f t="shared" si="75"/>
        <v>2585511733</v>
      </c>
      <c r="G58" s="58">
        <f t="shared" si="75"/>
        <v>1639385633</v>
      </c>
      <c r="H58" s="58">
        <f t="shared" si="75"/>
        <v>2000720629</v>
      </c>
      <c r="I58" s="58">
        <f t="shared" si="75"/>
        <v>1267240434</v>
      </c>
      <c r="J58" s="58">
        <f t="shared" si="75"/>
        <v>1563365871</v>
      </c>
      <c r="K58" s="58">
        <f t="shared" si="75"/>
        <v>1868839526</v>
      </c>
      <c r="L58" s="58">
        <f t="shared" si="75"/>
        <v>1712853276</v>
      </c>
      <c r="M58" s="58">
        <f t="shared" si="75"/>
        <v>1786706024</v>
      </c>
      <c r="N58" s="58">
        <f t="shared" si="75"/>
        <v>17947840078</v>
      </c>
      <c r="O58" s="85">
        <f>+N58/((B58/12)*10)</f>
        <v>0.57888090251268909</v>
      </c>
      <c r="P58" s="58">
        <f>+P59+P82+P87+P96+P101+P106+P110+P115+P119</f>
        <v>28006861851.611252</v>
      </c>
      <c r="Q58" s="93">
        <f t="shared" si="11"/>
        <v>0.30038218758243707</v>
      </c>
    </row>
    <row r="59" spans="1:17" ht="15.75" x14ac:dyDescent="0.2">
      <c r="A59" s="48" t="s">
        <v>87</v>
      </c>
      <c r="B59" s="48">
        <f>SUM(B60:B74)</f>
        <v>9621625281.6666679</v>
      </c>
      <c r="C59" s="48">
        <f>SUM(C60:C74)</f>
        <v>801802106.80555558</v>
      </c>
      <c r="D59" s="48">
        <f>SUM(D60:D74)</f>
        <v>985211461</v>
      </c>
      <c r="E59" s="48">
        <f t="shared" ref="E59:N59" si="76">SUM(E60:E74)</f>
        <v>601023265</v>
      </c>
      <c r="F59" s="48">
        <f t="shared" ref="F59:G59" si="77">SUM(F60:F74)</f>
        <v>1119407556</v>
      </c>
      <c r="G59" s="48">
        <f t="shared" si="77"/>
        <v>494228760</v>
      </c>
      <c r="H59" s="48">
        <f t="shared" ref="H59:I59" si="78">SUM(H60:H74)</f>
        <v>552200552</v>
      </c>
      <c r="I59" s="48">
        <f t="shared" si="78"/>
        <v>208908203</v>
      </c>
      <c r="J59" s="48">
        <f t="shared" ref="J59:K59" si="79">SUM(J60:J74)</f>
        <v>250289375</v>
      </c>
      <c r="K59" s="48">
        <f t="shared" si="79"/>
        <v>530178124</v>
      </c>
      <c r="L59" s="48">
        <f t="shared" ref="L59:M59" si="80">SUM(L60:L74)</f>
        <v>655199496</v>
      </c>
      <c r="M59" s="48">
        <f t="shared" si="80"/>
        <v>219409929</v>
      </c>
      <c r="N59" s="48">
        <f t="shared" si="76"/>
        <v>5616056721</v>
      </c>
      <c r="O59" s="85">
        <f>+N59/((B59/12)*10)</f>
        <v>0.70042927966039192</v>
      </c>
      <c r="P59" s="48">
        <f>SUM(P60:P76)</f>
        <v>9242130033.4660263</v>
      </c>
      <c r="Q59" s="93">
        <f t="shared" si="11"/>
        <v>0.37138483646172471</v>
      </c>
    </row>
    <row r="60" spans="1:17" ht="15.95" hidden="1" customHeight="1" x14ac:dyDescent="0.25">
      <c r="A60" s="36" t="s">
        <v>159</v>
      </c>
      <c r="B60" s="38">
        <v>1594914717</v>
      </c>
      <c r="C60" s="35">
        <f t="shared" ref="C60:C74" si="81">+B60/12</f>
        <v>132909559.75</v>
      </c>
      <c r="D60" s="64">
        <v>201192526</v>
      </c>
      <c r="E60" s="64">
        <v>108777867</v>
      </c>
      <c r="F60" s="64">
        <v>107623231</v>
      </c>
      <c r="G60" s="64">
        <v>45267170</v>
      </c>
      <c r="H60" s="64">
        <v>121453913</v>
      </c>
      <c r="I60" s="64">
        <v>129541293</v>
      </c>
      <c r="J60" s="64">
        <v>117616353</v>
      </c>
      <c r="K60" s="64">
        <v>135951654</v>
      </c>
      <c r="L60" s="64">
        <v>230397508</v>
      </c>
      <c r="M60" s="64">
        <v>19508826</v>
      </c>
      <c r="N60" s="64">
        <f t="shared" ref="N60:N74" si="82">+E60+D60+F60+G60+H60+I60+J60+K60+L60+M60</f>
        <v>1217330341</v>
      </c>
      <c r="O60" s="85">
        <f>+N60/((B60/12)*910)</f>
        <v>1.0064931762371212E-2</v>
      </c>
      <c r="P60" s="64">
        <v>2689320878.1932983</v>
      </c>
      <c r="Q60" s="93">
        <f t="shared" si="11"/>
        <v>0.84099636421347435</v>
      </c>
    </row>
    <row r="61" spans="1:17" ht="15.75" hidden="1" x14ac:dyDescent="0.25">
      <c r="A61" s="36" t="s">
        <v>160</v>
      </c>
      <c r="B61" s="40">
        <v>2381213664</v>
      </c>
      <c r="C61" s="35">
        <f t="shared" si="81"/>
        <v>198434472</v>
      </c>
      <c r="D61" s="64">
        <v>175000000</v>
      </c>
      <c r="E61" s="64">
        <v>188268000</v>
      </c>
      <c r="F61" s="64">
        <v>188268000</v>
      </c>
      <c r="G61" s="64">
        <v>0</v>
      </c>
      <c r="H61" s="64">
        <v>188268000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f t="shared" si="82"/>
        <v>739804000</v>
      </c>
      <c r="O61" s="85">
        <f>+N61/((B61/12)*10)</f>
        <v>0.37282030311749464</v>
      </c>
      <c r="P61" s="64">
        <v>2007583086.9752896</v>
      </c>
      <c r="Q61" s="93">
        <f t="shared" si="11"/>
        <v>1.2613907275612748</v>
      </c>
    </row>
    <row r="62" spans="1:17" ht="15.75" hidden="1" x14ac:dyDescent="0.25">
      <c r="A62" s="36" t="s">
        <v>88</v>
      </c>
      <c r="B62" s="40">
        <v>1388000000</v>
      </c>
      <c r="C62" s="35">
        <f t="shared" si="81"/>
        <v>115666666.66666667</v>
      </c>
      <c r="D62" s="64"/>
      <c r="E62" s="64"/>
      <c r="F62" s="64"/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f t="shared" si="82"/>
        <v>0</v>
      </c>
      <c r="O62" s="85">
        <f>+N62/((B62/12)*10)</f>
        <v>0</v>
      </c>
      <c r="P62" s="64">
        <v>0</v>
      </c>
      <c r="Q62" s="93"/>
    </row>
    <row r="63" spans="1:17" ht="15.75" hidden="1" x14ac:dyDescent="0.25">
      <c r="A63" s="36" t="s">
        <v>89</v>
      </c>
      <c r="B63" s="40">
        <v>200000000</v>
      </c>
      <c r="C63" s="35">
        <f t="shared" si="81"/>
        <v>16666666.666666666</v>
      </c>
      <c r="D63" s="64">
        <v>22809600</v>
      </c>
      <c r="E63" s="64">
        <v>22809600</v>
      </c>
      <c r="F63" s="64">
        <v>22809600</v>
      </c>
      <c r="G63" s="64">
        <v>22809600</v>
      </c>
      <c r="H63" s="64">
        <v>0</v>
      </c>
      <c r="I63" s="64">
        <v>22809600</v>
      </c>
      <c r="J63" s="64">
        <v>45619200</v>
      </c>
      <c r="K63" s="64">
        <v>0</v>
      </c>
      <c r="L63" s="64">
        <v>8363520</v>
      </c>
      <c r="M63" s="64"/>
      <c r="N63" s="64">
        <f t="shared" si="82"/>
        <v>168030720</v>
      </c>
      <c r="O63" s="85">
        <f>+N63/((B63/12)*10)</f>
        <v>1.00818432</v>
      </c>
      <c r="P63" s="64">
        <v>168618475.30329725</v>
      </c>
      <c r="Q63" s="93">
        <f t="shared" si="11"/>
        <v>-0.16375174678724791</v>
      </c>
    </row>
    <row r="64" spans="1:17" ht="15.75" hidden="1" x14ac:dyDescent="0.25">
      <c r="A64" s="36" t="s">
        <v>152</v>
      </c>
      <c r="B64" s="40">
        <v>0</v>
      </c>
      <c r="C64" s="35">
        <f t="shared" si="81"/>
        <v>0</v>
      </c>
      <c r="D64" s="64">
        <v>488113335</v>
      </c>
      <c r="E64" s="64">
        <v>237507344</v>
      </c>
      <c r="F64" s="64">
        <v>189534000</v>
      </c>
      <c r="G64" s="64">
        <v>189534000</v>
      </c>
      <c r="H64" s="64">
        <v>0</v>
      </c>
      <c r="I64" s="64">
        <v>0</v>
      </c>
      <c r="J64" s="64">
        <v>-12574218</v>
      </c>
      <c r="K64" s="64">
        <v>189534000</v>
      </c>
      <c r="L64" s="64">
        <v>0</v>
      </c>
      <c r="M64" s="64"/>
      <c r="N64" s="64">
        <f t="shared" si="82"/>
        <v>1281648461</v>
      </c>
      <c r="O64" s="85"/>
      <c r="P64" s="64">
        <v>0</v>
      </c>
      <c r="Q64" s="93">
        <f t="shared" si="11"/>
        <v>-1</v>
      </c>
    </row>
    <row r="65" spans="1:17" ht="15.75" hidden="1" x14ac:dyDescent="0.25">
      <c r="A65" s="36" t="s">
        <v>90</v>
      </c>
      <c r="B65" s="40">
        <v>0</v>
      </c>
      <c r="C65" s="35">
        <f t="shared" si="81"/>
        <v>0</v>
      </c>
      <c r="D65" s="64"/>
      <c r="E65" s="64"/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/>
      <c r="L65" s="64">
        <v>0</v>
      </c>
      <c r="M65" s="64">
        <v>52200000</v>
      </c>
      <c r="N65" s="64">
        <f t="shared" si="82"/>
        <v>52200000</v>
      </c>
      <c r="O65" s="85"/>
      <c r="P65" s="64">
        <v>0</v>
      </c>
      <c r="Q65" s="93">
        <f t="shared" si="11"/>
        <v>-1</v>
      </c>
    </row>
    <row r="66" spans="1:17" ht="15.75" hidden="1" x14ac:dyDescent="0.25">
      <c r="A66" s="36" t="s">
        <v>91</v>
      </c>
      <c r="B66" s="38">
        <v>450000000</v>
      </c>
      <c r="C66" s="35">
        <f t="shared" si="81"/>
        <v>37500000</v>
      </c>
      <c r="D66" s="64">
        <v>52200000</v>
      </c>
      <c r="E66" s="64">
        <v>12319200</v>
      </c>
      <c r="F66" s="64">
        <v>38624651</v>
      </c>
      <c r="G66" s="64">
        <v>98780045</v>
      </c>
      <c r="H66" s="64">
        <v>49059557</v>
      </c>
      <c r="I66" s="64">
        <v>2422912</v>
      </c>
      <c r="J66" s="64">
        <v>38690102</v>
      </c>
      <c r="K66" s="64">
        <v>86829100</v>
      </c>
      <c r="L66" s="64">
        <v>4839600</v>
      </c>
      <c r="M66" s="64">
        <v>48139775</v>
      </c>
      <c r="N66" s="64">
        <f t="shared" si="82"/>
        <v>431904942</v>
      </c>
      <c r="O66" s="85">
        <f t="shared" ref="O66:O74" si="83">+N66/((B66/12)*10)</f>
        <v>1.1517465119999999</v>
      </c>
      <c r="P66" s="64">
        <f>557705607.065656*2</f>
        <v>1115411214.1313119</v>
      </c>
      <c r="Q66" s="93">
        <f t="shared" si="11"/>
        <v>1.1521155576622841</v>
      </c>
    </row>
    <row r="67" spans="1:17" ht="15.75" hidden="1" x14ac:dyDescent="0.25">
      <c r="A67" s="36" t="s">
        <v>92</v>
      </c>
      <c r="B67" s="38">
        <v>1651939990</v>
      </c>
      <c r="C67" s="35">
        <f t="shared" si="81"/>
        <v>137661665.83333334</v>
      </c>
      <c r="D67" s="64">
        <v>0</v>
      </c>
      <c r="E67" s="64">
        <v>5538736</v>
      </c>
      <c r="F67" s="64">
        <v>304317905</v>
      </c>
      <c r="G67" s="64">
        <v>112679163</v>
      </c>
      <c r="H67" s="64">
        <v>102551832</v>
      </c>
      <c r="I67" s="64">
        <v>0</v>
      </c>
      <c r="J67" s="64">
        <v>0</v>
      </c>
      <c r="K67" s="64">
        <v>0</v>
      </c>
      <c r="L67" s="64">
        <v>325641223</v>
      </c>
      <c r="M67" s="64"/>
      <c r="N67" s="64">
        <f t="shared" si="82"/>
        <v>850728859</v>
      </c>
      <c r="O67" s="85">
        <f t="shared" si="83"/>
        <v>0.61798530030137466</v>
      </c>
      <c r="P67" s="64">
        <v>2089107018.047581</v>
      </c>
      <c r="Q67" s="93">
        <f t="shared" si="11"/>
        <v>1.0463893949548626</v>
      </c>
    </row>
    <row r="68" spans="1:17" ht="15.75" hidden="1" x14ac:dyDescent="0.25">
      <c r="A68" s="36" t="s">
        <v>93</v>
      </c>
      <c r="B68" s="40">
        <v>15514880</v>
      </c>
      <c r="C68" s="35">
        <f t="shared" si="81"/>
        <v>1292906.6666666667</v>
      </c>
      <c r="D68" s="64">
        <v>0</v>
      </c>
      <c r="E68" s="64">
        <v>0</v>
      </c>
      <c r="F68" s="64">
        <v>0</v>
      </c>
      <c r="G68" s="64">
        <v>0</v>
      </c>
      <c r="H68" s="64">
        <v>11640000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f t="shared" si="82"/>
        <v>11640000</v>
      </c>
      <c r="O68" s="85">
        <f t="shared" si="83"/>
        <v>0.90029700519759082</v>
      </c>
      <c r="P68" s="64">
        <v>0</v>
      </c>
      <c r="Q68" s="93">
        <f t="shared" si="11"/>
        <v>-1</v>
      </c>
    </row>
    <row r="69" spans="1:17" ht="15.75" hidden="1" x14ac:dyDescent="0.25">
      <c r="A69" s="91" t="s">
        <v>94</v>
      </c>
      <c r="B69" s="38">
        <v>180960000</v>
      </c>
      <c r="C69" s="35">
        <f t="shared" si="81"/>
        <v>15080000</v>
      </c>
      <c r="D69" s="64">
        <v>15080000</v>
      </c>
      <c r="E69" s="64">
        <v>0</v>
      </c>
      <c r="F69" s="64">
        <v>30160000</v>
      </c>
      <c r="G69" s="64">
        <v>15080000</v>
      </c>
      <c r="H69" s="64">
        <v>15080000</v>
      </c>
      <c r="I69" s="64">
        <v>15080000</v>
      </c>
      <c r="J69" s="64">
        <v>15080000</v>
      </c>
      <c r="K69" s="64">
        <v>0</v>
      </c>
      <c r="L69" s="64">
        <v>10556000</v>
      </c>
      <c r="M69" s="64">
        <v>32000000</v>
      </c>
      <c r="N69" s="64">
        <f t="shared" si="82"/>
        <v>148116000</v>
      </c>
      <c r="O69" s="85">
        <f t="shared" si="83"/>
        <v>0.98220159151193631</v>
      </c>
      <c r="P69" s="64">
        <v>360000000</v>
      </c>
      <c r="Q69" s="93">
        <f t="shared" ref="Q69:Q132" si="84">(+P69/((N69/10)*12))-1</f>
        <v>1.0254395203759215</v>
      </c>
    </row>
    <row r="70" spans="1:17" ht="15.75" hidden="1" x14ac:dyDescent="0.25">
      <c r="A70" s="36" t="s">
        <v>95</v>
      </c>
      <c r="B70" s="38">
        <v>16000000</v>
      </c>
      <c r="C70" s="35">
        <f t="shared" si="81"/>
        <v>1333333.3333333333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/>
      <c r="N70" s="64">
        <f t="shared" si="82"/>
        <v>0</v>
      </c>
      <c r="O70" s="85">
        <f t="shared" si="83"/>
        <v>0</v>
      </c>
      <c r="P70" s="64">
        <v>0</v>
      </c>
      <c r="Q70" s="93"/>
    </row>
    <row r="71" spans="1:17" ht="15.75" hidden="1" x14ac:dyDescent="0.25">
      <c r="A71" s="36" t="s">
        <v>96</v>
      </c>
      <c r="B71" s="38">
        <v>150000000</v>
      </c>
      <c r="C71" s="35">
        <f t="shared" si="81"/>
        <v>12500000</v>
      </c>
      <c r="D71" s="64">
        <v>0</v>
      </c>
      <c r="E71" s="64">
        <v>0</v>
      </c>
      <c r="F71" s="64">
        <v>15800000</v>
      </c>
      <c r="G71" s="64">
        <v>-5800000</v>
      </c>
      <c r="H71" s="64">
        <v>23800000</v>
      </c>
      <c r="I71" s="64">
        <v>25882500</v>
      </c>
      <c r="J71" s="64">
        <v>0</v>
      </c>
      <c r="K71" s="64">
        <v>49120000</v>
      </c>
      <c r="L71" s="64">
        <v>5939999</v>
      </c>
      <c r="M71" s="64">
        <v>2200000</v>
      </c>
      <c r="N71" s="64">
        <f t="shared" si="82"/>
        <v>116942499</v>
      </c>
      <c r="O71" s="85">
        <f t="shared" si="83"/>
        <v>0.93553999200000004</v>
      </c>
      <c r="P71" s="64">
        <v>0</v>
      </c>
      <c r="Q71" s="93">
        <f t="shared" si="84"/>
        <v>-1</v>
      </c>
    </row>
    <row r="72" spans="1:17" ht="15.75" hidden="1" x14ac:dyDescent="0.25">
      <c r="A72" s="36" t="s">
        <v>97</v>
      </c>
      <c r="B72" s="40">
        <v>62446666.666666672</v>
      </c>
      <c r="C72" s="35">
        <f t="shared" si="81"/>
        <v>5203888.888888889</v>
      </c>
      <c r="D72" s="64">
        <v>0</v>
      </c>
      <c r="E72" s="64">
        <v>0</v>
      </c>
      <c r="F72" s="64"/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/>
      <c r="N72" s="64">
        <f t="shared" si="82"/>
        <v>0</v>
      </c>
      <c r="O72" s="85">
        <f t="shared" si="83"/>
        <v>0</v>
      </c>
      <c r="P72" s="64">
        <v>0</v>
      </c>
      <c r="Q72" s="93"/>
    </row>
    <row r="73" spans="1:17" ht="15.75" hidden="1" x14ac:dyDescent="0.25">
      <c r="A73" s="36" t="s">
        <v>98</v>
      </c>
      <c r="B73" s="38">
        <v>30635364</v>
      </c>
      <c r="C73" s="35">
        <f t="shared" si="81"/>
        <v>2552947</v>
      </c>
      <c r="D73" s="64">
        <v>0</v>
      </c>
      <c r="E73" s="64">
        <v>13802518</v>
      </c>
      <c r="F73" s="64">
        <v>9071429</v>
      </c>
      <c r="G73" s="64">
        <v>3878782</v>
      </c>
      <c r="H73" s="64">
        <v>6930072</v>
      </c>
      <c r="I73" s="64">
        <v>13171898</v>
      </c>
      <c r="J73" s="64">
        <v>5186872</v>
      </c>
      <c r="K73" s="64">
        <v>16432647</v>
      </c>
      <c r="L73" s="64">
        <v>20615523</v>
      </c>
      <c r="M73" s="64">
        <v>14547567</v>
      </c>
      <c r="N73" s="64">
        <f t="shared" si="82"/>
        <v>103637308</v>
      </c>
      <c r="O73" s="85">
        <f t="shared" si="83"/>
        <v>4.0595166292132188</v>
      </c>
      <c r="P73" s="64">
        <v>64571104.600519031</v>
      </c>
      <c r="Q73" s="93">
        <f t="shared" si="84"/>
        <v>-0.48079263276728634</v>
      </c>
    </row>
    <row r="74" spans="1:17" ht="15.75" hidden="1" x14ac:dyDescent="0.25">
      <c r="A74" s="36" t="s">
        <v>165</v>
      </c>
      <c r="B74" s="38">
        <v>1500000000</v>
      </c>
      <c r="C74" s="35">
        <f t="shared" si="81"/>
        <v>125000000</v>
      </c>
      <c r="D74" s="64">
        <v>30816000</v>
      </c>
      <c r="E74" s="64">
        <v>12000000</v>
      </c>
      <c r="F74" s="64">
        <v>213198740</v>
      </c>
      <c r="G74" s="64">
        <v>12000000</v>
      </c>
      <c r="H74" s="64">
        <v>33417178</v>
      </c>
      <c r="I74" s="64">
        <v>0</v>
      </c>
      <c r="J74" s="64">
        <f>4193700+36477366</f>
        <v>40671066</v>
      </c>
      <c r="K74" s="64">
        <f>50213873+2096850</f>
        <v>52310723</v>
      </c>
      <c r="L74" s="64">
        <v>48846123</v>
      </c>
      <c r="M74" s="64">
        <f>48717711+2096050</f>
        <v>50813761</v>
      </c>
      <c r="N74" s="64">
        <f t="shared" si="82"/>
        <v>494073591</v>
      </c>
      <c r="O74" s="85">
        <f t="shared" si="83"/>
        <v>0.39525887279999999</v>
      </c>
      <c r="P74" s="64">
        <v>544518256.21473002</v>
      </c>
      <c r="Q74" s="93">
        <f t="shared" si="84"/>
        <v>-8.1583752343737381E-2</v>
      </c>
    </row>
    <row r="75" spans="1:17" ht="15.75" hidden="1" x14ac:dyDescent="0.25">
      <c r="A75" s="36"/>
      <c r="B75" s="38"/>
      <c r="C75" s="35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85"/>
      <c r="P75" s="64">
        <v>0</v>
      </c>
      <c r="Q75" s="93"/>
    </row>
    <row r="76" spans="1:17" ht="15.75" hidden="1" x14ac:dyDescent="0.2">
      <c r="A76" s="95" t="s">
        <v>226</v>
      </c>
      <c r="B76" s="38"/>
      <c r="C76" s="35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85"/>
      <c r="P76" s="64">
        <f>SUM(P77:P81)</f>
        <v>203000000</v>
      </c>
      <c r="Q76" s="93"/>
    </row>
    <row r="77" spans="1:17" ht="15.75" hidden="1" x14ac:dyDescent="0.2">
      <c r="A77" s="74" t="s">
        <v>227</v>
      </c>
      <c r="B77" s="38"/>
      <c r="C77" s="35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85"/>
      <c r="P77" s="64">
        <v>40000000</v>
      </c>
      <c r="Q77" s="93"/>
    </row>
    <row r="78" spans="1:17" ht="15.75" hidden="1" x14ac:dyDescent="0.2">
      <c r="A78" s="74" t="s">
        <v>228</v>
      </c>
      <c r="B78" s="38"/>
      <c r="C78" s="35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85"/>
      <c r="P78" s="64">
        <v>10000000</v>
      </c>
      <c r="Q78" s="93"/>
    </row>
    <row r="79" spans="1:17" ht="15.75" hidden="1" x14ac:dyDescent="0.2">
      <c r="A79" s="74" t="s">
        <v>245</v>
      </c>
      <c r="B79" s="38"/>
      <c r="C79" s="35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85"/>
      <c r="P79" s="64">
        <v>96000000</v>
      </c>
      <c r="Q79" s="93"/>
    </row>
    <row r="80" spans="1:17" ht="15.75" hidden="1" x14ac:dyDescent="0.2">
      <c r="A80" s="74" t="s">
        <v>229</v>
      </c>
      <c r="B80" s="38"/>
      <c r="C80" s="35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85"/>
      <c r="P80" s="64">
        <v>7000000</v>
      </c>
      <c r="Q80" s="93"/>
    </row>
    <row r="81" spans="1:17" ht="15.75" hidden="1" x14ac:dyDescent="0.2">
      <c r="A81" s="74" t="s">
        <v>230</v>
      </c>
      <c r="B81" s="38"/>
      <c r="C81" s="35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85"/>
      <c r="P81" s="64">
        <v>50000000</v>
      </c>
      <c r="Q81" s="93"/>
    </row>
    <row r="82" spans="1:17" ht="15.75" x14ac:dyDescent="0.2">
      <c r="A82" s="48" t="s">
        <v>99</v>
      </c>
      <c r="B82" s="48">
        <f>SUM(B83:B84)</f>
        <v>580155854.42666674</v>
      </c>
      <c r="C82" s="48">
        <f>SUM(C83:C84)</f>
        <v>48346321.202222221</v>
      </c>
      <c r="D82" s="48">
        <f t="shared" ref="D82:N82" si="85">SUM(D83:D84)</f>
        <v>0</v>
      </c>
      <c r="E82" s="48">
        <f t="shared" si="85"/>
        <v>72405239</v>
      </c>
      <c r="F82" s="48">
        <f t="shared" ref="F82:G82" si="86">SUM(F83:F84)</f>
        <v>44319112</v>
      </c>
      <c r="G82" s="48">
        <f t="shared" si="86"/>
        <v>22356330</v>
      </c>
      <c r="H82" s="48">
        <f t="shared" ref="H82:I82" si="87">SUM(H83:H84)</f>
        <v>58673790</v>
      </c>
      <c r="I82" s="48">
        <f t="shared" si="87"/>
        <v>40685945</v>
      </c>
      <c r="J82" s="48">
        <f t="shared" ref="J82:K82" si="88">SUM(J83:J84)</f>
        <v>43385413</v>
      </c>
      <c r="K82" s="48">
        <f t="shared" si="88"/>
        <v>38282234</v>
      </c>
      <c r="L82" s="48">
        <f t="shared" ref="L82:M82" si="89">SUM(L83:L84)</f>
        <v>41111244</v>
      </c>
      <c r="M82" s="48">
        <f t="shared" si="89"/>
        <v>39982935</v>
      </c>
      <c r="N82" s="48">
        <f t="shared" si="85"/>
        <v>401202242</v>
      </c>
      <c r="O82" s="85"/>
      <c r="P82" s="48">
        <f>SUM(P83:P86)</f>
        <v>1259396143.053365</v>
      </c>
      <c r="Q82" s="93">
        <f t="shared" si="84"/>
        <v>1.6158796636979016</v>
      </c>
    </row>
    <row r="83" spans="1:17" ht="15.75" hidden="1" x14ac:dyDescent="0.25">
      <c r="A83" s="36" t="s">
        <v>100</v>
      </c>
      <c r="B83" s="38">
        <v>250000000</v>
      </c>
      <c r="C83" s="35">
        <f t="shared" ref="C83:C84" si="90">+B83/12</f>
        <v>20833333.333333332</v>
      </c>
      <c r="D83" s="64">
        <v>0</v>
      </c>
      <c r="E83" s="64">
        <v>29181243</v>
      </c>
      <c r="F83" s="64">
        <v>24923759</v>
      </c>
      <c r="G83" s="64">
        <v>0</v>
      </c>
      <c r="H83" s="64">
        <v>37692522</v>
      </c>
      <c r="I83" s="64">
        <v>20940290</v>
      </c>
      <c r="J83" s="64">
        <v>20940290</v>
      </c>
      <c r="K83" s="64">
        <v>20940290</v>
      </c>
      <c r="L83" s="64">
        <v>20940290</v>
      </c>
      <c r="M83" s="64">
        <v>20940290</v>
      </c>
      <c r="N83" s="64">
        <f t="shared" ref="N83:N84" si="91">+E83+D83+F83+G83+H83+I83+J83+K83+L83+M83</f>
        <v>196498974</v>
      </c>
      <c r="O83" s="85"/>
      <c r="P83" s="64">
        <v>288759138.95689654</v>
      </c>
      <c r="Q83" s="93">
        <f t="shared" si="84"/>
        <v>0.22459985871180077</v>
      </c>
    </row>
    <row r="84" spans="1:17" ht="15.75" hidden="1" x14ac:dyDescent="0.25">
      <c r="A84" s="36" t="s">
        <v>101</v>
      </c>
      <c r="B84" s="38">
        <v>330155854.42666668</v>
      </c>
      <c r="C84" s="35">
        <f t="shared" si="90"/>
        <v>27512987.868888889</v>
      </c>
      <c r="D84" s="64">
        <v>0</v>
      </c>
      <c r="E84" s="64">
        <v>43223996</v>
      </c>
      <c r="F84" s="64">
        <v>19395353</v>
      </c>
      <c r="G84" s="64">
        <v>22356330</v>
      </c>
      <c r="H84" s="64">
        <v>20981268</v>
      </c>
      <c r="I84" s="64">
        <v>19745655</v>
      </c>
      <c r="J84" s="64">
        <v>22445123</v>
      </c>
      <c r="K84" s="64">
        <v>17341944</v>
      </c>
      <c r="L84" s="64">
        <v>20170954</v>
      </c>
      <c r="M84" s="64">
        <v>19042645</v>
      </c>
      <c r="N84" s="64">
        <f t="shared" si="91"/>
        <v>204703268</v>
      </c>
      <c r="O84" s="85"/>
      <c r="P84" s="64">
        <v>250516695.53646851</v>
      </c>
      <c r="Q84" s="93">
        <f t="shared" si="84"/>
        <v>1.983673727698898E-2</v>
      </c>
    </row>
    <row r="85" spans="1:17" ht="15.75" hidden="1" x14ac:dyDescent="0.25">
      <c r="A85" s="36" t="s">
        <v>231</v>
      </c>
      <c r="B85" s="38"/>
      <c r="C85" s="35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85"/>
      <c r="P85" s="64">
        <v>693448376.55999994</v>
      </c>
      <c r="Q85" s="93"/>
    </row>
    <row r="86" spans="1:17" ht="15.75" hidden="1" x14ac:dyDescent="0.25">
      <c r="A86" s="36" t="s">
        <v>246</v>
      </c>
      <c r="B86" s="38"/>
      <c r="C86" s="35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85"/>
      <c r="P86" s="64">
        <v>26671932</v>
      </c>
      <c r="Q86" s="93"/>
    </row>
    <row r="87" spans="1:17" ht="15.75" x14ac:dyDescent="0.2">
      <c r="A87" s="48" t="s">
        <v>102</v>
      </c>
      <c r="B87" s="48">
        <f>SUM(B88:B95)</f>
        <v>6270619887.4333334</v>
      </c>
      <c r="C87" s="48">
        <f>SUM(C88:C95)</f>
        <v>522551657.28611112</v>
      </c>
      <c r="D87" s="48">
        <f>SUM(D88:D95)</f>
        <v>79486551</v>
      </c>
      <c r="E87" s="48">
        <f t="shared" ref="E87:N87" si="92">SUM(E88:E95)</f>
        <v>386248587</v>
      </c>
      <c r="F87" s="48">
        <f t="shared" ref="F87:G87" si="93">SUM(F88:F95)</f>
        <v>103464251</v>
      </c>
      <c r="G87" s="48">
        <f t="shared" si="93"/>
        <v>193221427</v>
      </c>
      <c r="H87" s="48">
        <f t="shared" ref="H87:I87" si="94">SUM(H88:H95)</f>
        <v>196124618</v>
      </c>
      <c r="I87" s="48">
        <f t="shared" si="94"/>
        <v>76819025</v>
      </c>
      <c r="J87" s="48">
        <f t="shared" ref="J87:K87" si="95">SUM(J88:J95)</f>
        <v>335713270</v>
      </c>
      <c r="K87" s="48">
        <f t="shared" si="95"/>
        <v>170577039</v>
      </c>
      <c r="L87" s="48">
        <f t="shared" ref="L87:M87" si="96">SUM(L88:L95)</f>
        <v>56734288</v>
      </c>
      <c r="M87" s="48">
        <f t="shared" si="96"/>
        <v>540977495</v>
      </c>
      <c r="N87" s="48">
        <f t="shared" si="92"/>
        <v>2139366551</v>
      </c>
      <c r="O87" s="85"/>
      <c r="P87" s="48">
        <f>SUM(P88:P95)</f>
        <v>3480139133.0587292</v>
      </c>
      <c r="Q87" s="93">
        <f t="shared" si="84"/>
        <v>0.35559562846301973</v>
      </c>
    </row>
    <row r="88" spans="1:17" ht="15.75" hidden="1" x14ac:dyDescent="0.25">
      <c r="A88" s="36" t="s">
        <v>103</v>
      </c>
      <c r="B88" s="38">
        <v>160988664</v>
      </c>
      <c r="C88" s="35">
        <f t="shared" ref="C88:C95" si="97">+B88/12</f>
        <v>13415722</v>
      </c>
      <c r="D88" s="64">
        <v>6830971</v>
      </c>
      <c r="E88" s="64">
        <v>6782643</v>
      </c>
      <c r="F88" s="64">
        <v>8747124</v>
      </c>
      <c r="G88" s="64">
        <v>7442895</v>
      </c>
      <c r="H88" s="64">
        <v>7300969</v>
      </c>
      <c r="I88" s="64">
        <v>7293416</v>
      </c>
      <c r="J88" s="64">
        <v>8899153</v>
      </c>
      <c r="K88" s="64">
        <v>8501385</v>
      </c>
      <c r="L88" s="64">
        <v>8627611</v>
      </c>
      <c r="M88" s="64">
        <v>8649174</v>
      </c>
      <c r="N88" s="64">
        <f t="shared" ref="N88:N95" si="98">+E88+D88+F88+G88+H88+I88+J88+K88+L88+M88</f>
        <v>79075341</v>
      </c>
      <c r="O88" s="85"/>
      <c r="P88" s="64">
        <v>101796236.49298057</v>
      </c>
      <c r="Q88" s="93">
        <f t="shared" si="84"/>
        <v>7.277687335529559E-2</v>
      </c>
    </row>
    <row r="89" spans="1:17" ht="15.75" hidden="1" x14ac:dyDescent="0.25">
      <c r="A89" s="36" t="s">
        <v>104</v>
      </c>
      <c r="B89" s="38">
        <v>21146316</v>
      </c>
      <c r="C89" s="35">
        <f t="shared" si="97"/>
        <v>1762193</v>
      </c>
      <c r="D89" s="64">
        <v>2921694</v>
      </c>
      <c r="E89" s="64">
        <v>1911416</v>
      </c>
      <c r="F89" s="64">
        <v>2856173</v>
      </c>
      <c r="G89" s="64">
        <v>1922867</v>
      </c>
      <c r="H89" s="64">
        <v>1535220</v>
      </c>
      <c r="I89" s="64">
        <v>1827866</v>
      </c>
      <c r="J89" s="64">
        <v>1900796</v>
      </c>
      <c r="K89" s="64">
        <v>3026446</v>
      </c>
      <c r="L89" s="64">
        <v>2023674</v>
      </c>
      <c r="M89" s="64">
        <v>1977971</v>
      </c>
      <c r="N89" s="64">
        <f t="shared" si="98"/>
        <v>21904123</v>
      </c>
      <c r="O89" s="85"/>
      <c r="P89" s="64">
        <v>28525276.49761375</v>
      </c>
      <c r="Q89" s="93">
        <f t="shared" si="84"/>
        <v>8.5232389720029555E-2</v>
      </c>
    </row>
    <row r="90" spans="1:17" ht="15.75" hidden="1" x14ac:dyDescent="0.25">
      <c r="A90" s="36" t="s">
        <v>105</v>
      </c>
      <c r="B90" s="38">
        <v>11329632.773333332</v>
      </c>
      <c r="C90" s="35">
        <f t="shared" si="97"/>
        <v>944136.06444444426</v>
      </c>
      <c r="D90" s="64">
        <v>2237319</v>
      </c>
      <c r="E90" s="64">
        <v>1345575</v>
      </c>
      <c r="F90" s="64">
        <v>2165058</v>
      </c>
      <c r="G90" s="64">
        <v>1371726</v>
      </c>
      <c r="H90" s="64">
        <v>996015</v>
      </c>
      <c r="I90" s="64">
        <v>1324938</v>
      </c>
      <c r="J90" s="64">
        <v>1422921</v>
      </c>
      <c r="K90" s="64">
        <v>2522265</v>
      </c>
      <c r="L90" s="64">
        <v>1544812</v>
      </c>
      <c r="M90" s="64">
        <v>1521698</v>
      </c>
      <c r="N90" s="64">
        <f t="shared" si="98"/>
        <v>16452327</v>
      </c>
      <c r="O90" s="85"/>
      <c r="P90" s="64">
        <v>21014239.443843067</v>
      </c>
      <c r="Q90" s="93">
        <f t="shared" si="84"/>
        <v>6.4400567968443401E-2</v>
      </c>
    </row>
    <row r="91" spans="1:17" ht="15.75" hidden="1" x14ac:dyDescent="0.25">
      <c r="A91" s="36" t="s">
        <v>106</v>
      </c>
      <c r="B91" s="38">
        <v>13849950.66</v>
      </c>
      <c r="C91" s="35">
        <f t="shared" si="97"/>
        <v>1154162.5549999999</v>
      </c>
      <c r="D91" s="64">
        <v>1093577</v>
      </c>
      <c r="E91" s="64">
        <v>969417</v>
      </c>
      <c r="F91" s="64">
        <v>1671727</v>
      </c>
      <c r="G91" s="64">
        <v>1810116</v>
      </c>
      <c r="H91" s="64">
        <v>1847199</v>
      </c>
      <c r="I91" s="64">
        <v>1826931</v>
      </c>
      <c r="J91" s="64">
        <v>1880368</v>
      </c>
      <c r="K91" s="64">
        <v>1773327</v>
      </c>
      <c r="L91" s="64">
        <v>1834691</v>
      </c>
      <c r="M91" s="64">
        <v>1825545</v>
      </c>
      <c r="N91" s="64">
        <f t="shared" si="98"/>
        <v>16532898</v>
      </c>
      <c r="O91" s="85">
        <f>+N82/((B82/12)*10)</f>
        <v>0.82985061122201542</v>
      </c>
      <c r="P91" s="64">
        <v>21018218.069835857</v>
      </c>
      <c r="Q91" s="93">
        <f t="shared" si="84"/>
        <v>5.9413886474301902E-2</v>
      </c>
    </row>
    <row r="92" spans="1:17" ht="15.75" hidden="1" x14ac:dyDescent="0.25">
      <c r="A92" s="36" t="s">
        <v>107</v>
      </c>
      <c r="B92" s="38">
        <v>276124488</v>
      </c>
      <c r="C92" s="35">
        <f t="shared" si="97"/>
        <v>23010374</v>
      </c>
      <c r="D92" s="64">
        <v>17764992</v>
      </c>
      <c r="E92" s="64">
        <v>20557031</v>
      </c>
      <c r="F92" s="64">
        <v>41241246</v>
      </c>
      <c r="G92" s="64">
        <v>15083525</v>
      </c>
      <c r="H92" s="64">
        <v>14888839</v>
      </c>
      <c r="I92" s="64">
        <v>15935752</v>
      </c>
      <c r="J92" s="64">
        <v>27598978</v>
      </c>
      <c r="K92" s="64">
        <v>29207391</v>
      </c>
      <c r="L92" s="64">
        <v>29644552</v>
      </c>
      <c r="M92" s="64">
        <v>30695011</v>
      </c>
      <c r="N92" s="64">
        <f t="shared" si="98"/>
        <v>242617317</v>
      </c>
      <c r="O92" s="85">
        <f>+N83/((B83/12)*10)</f>
        <v>0.94319507520000012</v>
      </c>
      <c r="P92" s="64">
        <v>279358140.96278155</v>
      </c>
      <c r="Q92" s="93">
        <f t="shared" si="84"/>
        <v>-4.0470590966439679E-2</v>
      </c>
    </row>
    <row r="93" spans="1:17" ht="15.75" hidden="1" x14ac:dyDescent="0.25">
      <c r="A93" s="36" t="s">
        <v>108</v>
      </c>
      <c r="B93" s="38">
        <v>394900000</v>
      </c>
      <c r="C93" s="35">
        <f t="shared" si="97"/>
        <v>32908333.333333332</v>
      </c>
      <c r="D93" s="64">
        <v>39861025</v>
      </c>
      <c r="E93" s="64">
        <v>85097352</v>
      </c>
      <c r="F93" s="64">
        <v>33766700</v>
      </c>
      <c r="G93" s="64">
        <v>54790451</v>
      </c>
      <c r="H93" s="64">
        <v>71698727</v>
      </c>
      <c r="I93" s="64">
        <v>40992978</v>
      </c>
      <c r="J93" s="64">
        <v>56509473</v>
      </c>
      <c r="K93" s="64">
        <v>22909404</v>
      </c>
      <c r="L93" s="64">
        <v>2166123</v>
      </c>
      <c r="M93" s="64">
        <v>256987045</v>
      </c>
      <c r="N93" s="64">
        <f t="shared" si="98"/>
        <v>664779278</v>
      </c>
      <c r="O93" s="85">
        <f>+N84/((B84/12)*10)</f>
        <v>0.74402412771560211</v>
      </c>
      <c r="P93" s="64">
        <v>739120538.45972013</v>
      </c>
      <c r="Q93" s="93">
        <f t="shared" si="84"/>
        <v>-7.347626131967544E-2</v>
      </c>
    </row>
    <row r="94" spans="1:17" ht="15.75" hidden="1" x14ac:dyDescent="0.25">
      <c r="A94" s="36" t="s">
        <v>109</v>
      </c>
      <c r="B94" s="38">
        <v>192280836</v>
      </c>
      <c r="C94" s="35">
        <f t="shared" si="97"/>
        <v>16023403</v>
      </c>
      <c r="D94" s="64">
        <v>8765473</v>
      </c>
      <c r="E94" s="64">
        <v>8081275</v>
      </c>
      <c r="F94" s="64">
        <v>13016223</v>
      </c>
      <c r="G94" s="64">
        <v>10925490</v>
      </c>
      <c r="H94" s="64">
        <v>7263138</v>
      </c>
      <c r="I94" s="64">
        <v>7617144</v>
      </c>
      <c r="J94" s="64">
        <v>11184266</v>
      </c>
      <c r="K94" s="64">
        <v>9606735</v>
      </c>
      <c r="L94" s="64">
        <v>10892825</v>
      </c>
      <c r="M94" s="64">
        <v>9256695</v>
      </c>
      <c r="N94" s="64">
        <f t="shared" si="98"/>
        <v>96609264</v>
      </c>
      <c r="O94" s="85">
        <f t="shared" ref="O94:O104" si="99">+N87/((B87/12)*10)</f>
        <v>0.40940766738945378</v>
      </c>
      <c r="P94" s="64">
        <v>97266304.189090043</v>
      </c>
      <c r="Q94" s="93">
        <f t="shared" si="84"/>
        <v>-0.16099916162379246</v>
      </c>
    </row>
    <row r="95" spans="1:17" ht="15.75" hidden="1" x14ac:dyDescent="0.25">
      <c r="A95" s="36" t="s">
        <v>110</v>
      </c>
      <c r="B95" s="38">
        <v>5200000000</v>
      </c>
      <c r="C95" s="35">
        <f t="shared" si="97"/>
        <v>433333333.33333331</v>
      </c>
      <c r="D95" s="64">
        <v>11500</v>
      </c>
      <c r="E95" s="64">
        <v>261503878</v>
      </c>
      <c r="F95" s="64">
        <v>0</v>
      </c>
      <c r="G95" s="64">
        <v>99874357</v>
      </c>
      <c r="H95" s="64">
        <v>90594511</v>
      </c>
      <c r="I95" s="64">
        <v>0</v>
      </c>
      <c r="J95" s="64">
        <v>226317315</v>
      </c>
      <c r="K95" s="64">
        <v>93030086</v>
      </c>
      <c r="L95" s="64">
        <v>0</v>
      </c>
      <c r="M95" s="64">
        <v>230064356</v>
      </c>
      <c r="N95" s="64">
        <f t="shared" si="98"/>
        <v>1001396003</v>
      </c>
      <c r="O95" s="85">
        <f t="shared" si="99"/>
        <v>0.58942292483401193</v>
      </c>
      <c r="P95" s="64">
        <v>2192040178.9428639</v>
      </c>
      <c r="Q95" s="93">
        <f t="shared" si="84"/>
        <v>0.82415362518583324</v>
      </c>
    </row>
    <row r="96" spans="1:17" ht="15.75" x14ac:dyDescent="0.2">
      <c r="A96" s="48" t="s">
        <v>111</v>
      </c>
      <c r="B96" s="48">
        <f>SUM(B97:B100)</f>
        <v>8835628262.0400009</v>
      </c>
      <c r="C96" s="48">
        <f>SUM(C97:C100)</f>
        <v>736302355.17000008</v>
      </c>
      <c r="D96" s="48">
        <f>SUM(D97:D100)</f>
        <v>404318606</v>
      </c>
      <c r="E96" s="48">
        <f t="shared" ref="E96:F96" si="100">SUM(E97:E100)</f>
        <v>351055569</v>
      </c>
      <c r="F96" s="48">
        <f t="shared" si="100"/>
        <v>667859368</v>
      </c>
      <c r="G96" s="48">
        <f t="shared" ref="G96:H96" si="101">SUM(G97:G100)</f>
        <v>376094713</v>
      </c>
      <c r="H96" s="48">
        <f t="shared" si="101"/>
        <v>570689566</v>
      </c>
      <c r="I96" s="48">
        <f t="shared" ref="I96:J96" si="102">SUM(I97:I100)</f>
        <v>327130378</v>
      </c>
      <c r="J96" s="48">
        <f t="shared" si="102"/>
        <v>355401255</v>
      </c>
      <c r="K96" s="48">
        <f t="shared" ref="K96:L96" si="103">SUM(K97:K100)</f>
        <v>542714653</v>
      </c>
      <c r="L96" s="48">
        <f t="shared" si="103"/>
        <v>445547235</v>
      </c>
      <c r="M96" s="48">
        <f t="shared" ref="M96" si="104">SUM(M97:M100)</f>
        <v>439823890</v>
      </c>
      <c r="N96" s="48">
        <f t="shared" ref="N96" si="105">SUM(N97:N100)</f>
        <v>4480635233</v>
      </c>
      <c r="O96" s="85">
        <f t="shared" si="99"/>
        <v>1.2430036324057581</v>
      </c>
      <c r="P96" s="48">
        <f>SUM(P97:P100)</f>
        <v>6129403926.1584492</v>
      </c>
      <c r="Q96" s="93">
        <f t="shared" si="84"/>
        <v>0.13998045801914105</v>
      </c>
    </row>
    <row r="97" spans="1:17" ht="15.75" hidden="1" x14ac:dyDescent="0.25">
      <c r="A97" s="36" t="s">
        <v>112</v>
      </c>
      <c r="B97" s="40">
        <v>3435628262.04</v>
      </c>
      <c r="C97" s="35">
        <f t="shared" ref="C97:C100" si="106">+B97/12</f>
        <v>286302355.17000002</v>
      </c>
      <c r="D97" s="64">
        <v>292636772</v>
      </c>
      <c r="E97" s="64">
        <v>142495518</v>
      </c>
      <c r="F97" s="64">
        <f>121033821+68117000</f>
        <v>189150821</v>
      </c>
      <c r="G97" s="64">
        <v>132107221</v>
      </c>
      <c r="H97" s="64">
        <v>335564209</v>
      </c>
      <c r="I97" s="64">
        <v>142891738</v>
      </c>
      <c r="J97" s="64">
        <v>132986031</v>
      </c>
      <c r="K97" s="64">
        <v>343877100</v>
      </c>
      <c r="L97" s="64">
        <v>107244348</v>
      </c>
      <c r="M97" s="64">
        <v>357354388</v>
      </c>
      <c r="N97" s="64">
        <f t="shared" ref="N97:N100" si="107">+E97+D97+F97+G97+H97+I97+J97+K97+L97+M97</f>
        <v>2176308146</v>
      </c>
      <c r="O97" s="85">
        <f t="shared" si="99"/>
        <v>1.7425800813658148</v>
      </c>
      <c r="P97" s="64">
        <v>2462069196.8299327</v>
      </c>
      <c r="Q97" s="93">
        <f t="shared" si="84"/>
        <v>-5.7245484991347073E-2</v>
      </c>
    </row>
    <row r="98" spans="1:17" ht="15.75" hidden="1" x14ac:dyDescent="0.25">
      <c r="A98" s="36" t="s">
        <v>113</v>
      </c>
      <c r="B98" s="40">
        <v>0</v>
      </c>
      <c r="C98" s="35">
        <f t="shared" si="106"/>
        <v>0</v>
      </c>
      <c r="D98" s="64">
        <v>0</v>
      </c>
      <c r="E98" s="64"/>
      <c r="F98" s="64">
        <v>130858812</v>
      </c>
      <c r="G98" s="64">
        <v>48770006</v>
      </c>
      <c r="H98" s="64">
        <v>45547397</v>
      </c>
      <c r="I98" s="64">
        <v>152320</v>
      </c>
      <c r="J98" s="64">
        <v>21226824</v>
      </c>
      <c r="K98" s="64">
        <v>364172</v>
      </c>
      <c r="L98" s="64">
        <v>140736561</v>
      </c>
      <c r="M98" s="64">
        <v>24752</v>
      </c>
      <c r="N98" s="64">
        <f t="shared" si="107"/>
        <v>387680844</v>
      </c>
      <c r="O98" s="85">
        <f t="shared" si="99"/>
        <v>1.4324583593859535</v>
      </c>
      <c r="P98" s="64">
        <v>10000000</v>
      </c>
      <c r="Q98" s="93">
        <f t="shared" si="84"/>
        <v>-0.97850465540842324</v>
      </c>
    </row>
    <row r="99" spans="1:17" ht="15.75" hidden="1" x14ac:dyDescent="0.25">
      <c r="A99" s="36" t="s">
        <v>114</v>
      </c>
      <c r="B99" s="40">
        <v>1800000000</v>
      </c>
      <c r="C99" s="35">
        <f t="shared" si="106"/>
        <v>150000000</v>
      </c>
      <c r="D99" s="64">
        <v>111681834</v>
      </c>
      <c r="E99" s="64">
        <v>208560051</v>
      </c>
      <c r="F99" s="64">
        <v>212314271</v>
      </c>
      <c r="G99" s="64">
        <v>127915554</v>
      </c>
      <c r="H99" s="64">
        <v>112434716</v>
      </c>
      <c r="I99" s="64">
        <v>98108866</v>
      </c>
      <c r="J99" s="64">
        <v>136273900</v>
      </c>
      <c r="K99" s="64">
        <v>123118881</v>
      </c>
      <c r="L99" s="64">
        <v>75603962</v>
      </c>
      <c r="M99" s="64">
        <v>565250</v>
      </c>
      <c r="N99" s="64">
        <f t="shared" si="107"/>
        <v>1206577285</v>
      </c>
      <c r="O99" s="85">
        <f t="shared" si="99"/>
        <v>1.0543823277274851</v>
      </c>
      <c r="P99" s="64">
        <v>2170119777.1534357</v>
      </c>
      <c r="Q99" s="93">
        <f t="shared" si="84"/>
        <v>0.49881252540558396</v>
      </c>
    </row>
    <row r="100" spans="1:17" ht="15.75" hidden="1" x14ac:dyDescent="0.25">
      <c r="A100" s="36" t="s">
        <v>115</v>
      </c>
      <c r="B100" s="38">
        <v>3600000000</v>
      </c>
      <c r="C100" s="35">
        <f t="shared" si="106"/>
        <v>300000000</v>
      </c>
      <c r="D100" s="64">
        <v>0</v>
      </c>
      <c r="E100" s="64"/>
      <c r="F100" s="64">
        <v>135535464</v>
      </c>
      <c r="G100" s="64">
        <v>67301932</v>
      </c>
      <c r="H100" s="64">
        <v>77143244</v>
      </c>
      <c r="I100" s="64">
        <v>85977454</v>
      </c>
      <c r="J100" s="64">
        <v>64914500</v>
      </c>
      <c r="K100" s="64">
        <v>75354500</v>
      </c>
      <c r="L100" s="64">
        <v>121962364</v>
      </c>
      <c r="M100" s="64">
        <v>81879500</v>
      </c>
      <c r="N100" s="64">
        <f t="shared" si="107"/>
        <v>710068958</v>
      </c>
      <c r="O100" s="85">
        <f t="shared" si="99"/>
        <v>2.0200940329197268</v>
      </c>
      <c r="P100" s="64">
        <v>1487214952.1750817</v>
      </c>
      <c r="Q100" s="93">
        <f t="shared" si="84"/>
        <v>0.74538793664492919</v>
      </c>
    </row>
    <row r="101" spans="1:17" ht="15.75" x14ac:dyDescent="0.2">
      <c r="A101" s="48" t="s">
        <v>116</v>
      </c>
      <c r="B101" s="48">
        <f>SUM(B102:B105)</f>
        <v>207168031.47333333</v>
      </c>
      <c r="C101" s="48">
        <f>SUM(C102:C105)</f>
        <v>17264002.622777779</v>
      </c>
      <c r="D101" s="48">
        <f>SUM(D102:D105)</f>
        <v>13364467</v>
      </c>
      <c r="E101" s="48">
        <f t="shared" ref="E101:N101" si="108">SUM(E102:E105)</f>
        <v>13032649</v>
      </c>
      <c r="F101" s="48">
        <f t="shared" ref="F101:G101" si="109">SUM(F102:F105)</f>
        <v>10234968</v>
      </c>
      <c r="G101" s="48">
        <f t="shared" si="109"/>
        <v>450750</v>
      </c>
      <c r="H101" s="48">
        <f t="shared" ref="H101:I101" si="110">SUM(H102:H105)</f>
        <v>12553258</v>
      </c>
      <c r="I101" s="48">
        <f t="shared" si="110"/>
        <v>6080305</v>
      </c>
      <c r="J101" s="48">
        <f t="shared" ref="J101:K101" si="111">SUM(J102:J105)</f>
        <v>20351544</v>
      </c>
      <c r="K101" s="48">
        <f t="shared" si="111"/>
        <v>69003791</v>
      </c>
      <c r="L101" s="48">
        <f t="shared" ref="L101:M101" si="112">SUM(L102:L105)</f>
        <v>6503695</v>
      </c>
      <c r="M101" s="48">
        <f t="shared" si="112"/>
        <v>7422547</v>
      </c>
      <c r="N101" s="48">
        <f t="shared" si="108"/>
        <v>158997974</v>
      </c>
      <c r="O101" s="85">
        <f t="shared" si="99"/>
        <v>0.60292600766516324</v>
      </c>
      <c r="P101" s="48">
        <f>SUM(P102:P105)</f>
        <v>299972957.95942342</v>
      </c>
      <c r="Q101" s="93">
        <f t="shared" si="84"/>
        <v>0.57220534751081908</v>
      </c>
    </row>
    <row r="102" spans="1:17" ht="15.75" hidden="1" x14ac:dyDescent="0.25">
      <c r="A102" s="36" t="s">
        <v>117</v>
      </c>
      <c r="B102" s="40">
        <v>90000000</v>
      </c>
      <c r="C102" s="35">
        <f t="shared" ref="C102:C105" si="113">+B102/12</f>
        <v>7500000</v>
      </c>
      <c r="D102" s="64">
        <v>11018950</v>
      </c>
      <c r="E102" s="64">
        <v>103900</v>
      </c>
      <c r="F102" s="64">
        <v>10137068</v>
      </c>
      <c r="G102" s="64">
        <v>230750</v>
      </c>
      <c r="H102" s="64">
        <v>405350</v>
      </c>
      <c r="I102" s="64">
        <v>321790</v>
      </c>
      <c r="J102" s="64">
        <v>5023096</v>
      </c>
      <c r="K102" s="64">
        <v>55200</v>
      </c>
      <c r="L102" s="64">
        <v>169000</v>
      </c>
      <c r="M102" s="64">
        <v>687500</v>
      </c>
      <c r="N102" s="64">
        <f t="shared" ref="N102:N105" si="114">+E102+D102+F102+G102+H102+I102+J102+K102+L102+M102</f>
        <v>28152604</v>
      </c>
      <c r="O102" s="85">
        <f t="shared" si="99"/>
        <v>0.23109138530769233</v>
      </c>
      <c r="P102" s="64">
        <v>56908735.414862819</v>
      </c>
      <c r="Q102" s="93">
        <f t="shared" si="84"/>
        <v>0.68453142661518473</v>
      </c>
    </row>
    <row r="103" spans="1:17" ht="15.75" hidden="1" x14ac:dyDescent="0.25">
      <c r="A103" s="36" t="s">
        <v>118</v>
      </c>
      <c r="B103" s="40">
        <v>20000000</v>
      </c>
      <c r="C103" s="35">
        <f t="shared" si="113"/>
        <v>1666666.6666666667</v>
      </c>
      <c r="D103" s="64"/>
      <c r="E103" s="64">
        <v>281050</v>
      </c>
      <c r="F103" s="64">
        <v>97900</v>
      </c>
      <c r="G103" s="64">
        <v>220000</v>
      </c>
      <c r="H103" s="64">
        <v>95000</v>
      </c>
      <c r="I103" s="64">
        <v>552100</v>
      </c>
      <c r="J103" s="64">
        <v>263466</v>
      </c>
      <c r="K103" s="64">
        <v>855508</v>
      </c>
      <c r="L103" s="64">
        <v>964433</v>
      </c>
      <c r="M103" s="64">
        <v>564900</v>
      </c>
      <c r="N103" s="64">
        <f t="shared" si="114"/>
        <v>3894357</v>
      </c>
      <c r="O103" s="85">
        <f t="shared" si="99"/>
        <v>0.60853197080504995</v>
      </c>
      <c r="P103" s="64">
        <v>8430923.7651648615</v>
      </c>
      <c r="Q103" s="93">
        <f t="shared" si="84"/>
        <v>0.80408981618892428</v>
      </c>
    </row>
    <row r="104" spans="1:17" ht="15.75" hidden="1" x14ac:dyDescent="0.25">
      <c r="A104" s="36" t="s">
        <v>119</v>
      </c>
      <c r="B104" s="40">
        <v>47168031.473333336</v>
      </c>
      <c r="C104" s="35">
        <f t="shared" si="113"/>
        <v>3930669.2894444447</v>
      </c>
      <c r="D104" s="64">
        <v>260000</v>
      </c>
      <c r="E104" s="64">
        <v>12647699</v>
      </c>
      <c r="F104" s="64">
        <v>0</v>
      </c>
      <c r="G104" s="64">
        <v>0</v>
      </c>
      <c r="H104" s="64">
        <v>1473808</v>
      </c>
      <c r="I104" s="64">
        <v>736904</v>
      </c>
      <c r="J104" s="64">
        <v>736904</v>
      </c>
      <c r="K104" s="64">
        <v>736904</v>
      </c>
      <c r="L104" s="64">
        <v>736904</v>
      </c>
      <c r="M104" s="64">
        <v>736904</v>
      </c>
      <c r="N104" s="64">
        <f t="shared" si="114"/>
        <v>18066027</v>
      </c>
      <c r="O104" s="85">
        <f t="shared" si="99"/>
        <v>0.76014329141922576</v>
      </c>
      <c r="P104" s="64">
        <v>23860204.65027421</v>
      </c>
      <c r="Q104" s="93">
        <f t="shared" si="84"/>
        <v>0.1006019129290856</v>
      </c>
    </row>
    <row r="105" spans="1:17" ht="15.75" hidden="1" x14ac:dyDescent="0.25">
      <c r="A105" s="36" t="s">
        <v>120</v>
      </c>
      <c r="B105" s="40">
        <v>50000000</v>
      </c>
      <c r="C105" s="35">
        <f t="shared" si="113"/>
        <v>4166666.6666666665</v>
      </c>
      <c r="D105" s="64">
        <v>2085517</v>
      </c>
      <c r="E105" s="64">
        <v>0</v>
      </c>
      <c r="F105" s="64">
        <v>0</v>
      </c>
      <c r="G105" s="64">
        <v>0</v>
      </c>
      <c r="H105" s="64">
        <v>10579100</v>
      </c>
      <c r="I105" s="64">
        <v>4469511</v>
      </c>
      <c r="J105" s="64">
        <v>14328078</v>
      </c>
      <c r="K105" s="64">
        <v>67356179</v>
      </c>
      <c r="L105" s="64">
        <v>4633358</v>
      </c>
      <c r="M105" s="64">
        <v>5433243</v>
      </c>
      <c r="N105" s="64">
        <f t="shared" si="114"/>
        <v>108884986</v>
      </c>
      <c r="O105" s="85"/>
      <c r="P105" s="64">
        <v>210773094.12912157</v>
      </c>
      <c r="Q105" s="93">
        <f t="shared" si="84"/>
        <v>0.61311721257512342</v>
      </c>
    </row>
    <row r="106" spans="1:17" ht="15.75" x14ac:dyDescent="0.2">
      <c r="A106" s="48" t="s">
        <v>121</v>
      </c>
      <c r="B106" s="48">
        <f>SUM(B107:B109)</f>
        <v>803000000</v>
      </c>
      <c r="C106" s="48">
        <f>SUM(C107:C109)</f>
        <v>66916666.666666664</v>
      </c>
      <c r="D106" s="48">
        <f>SUM(D107:D109)</f>
        <v>15810135</v>
      </c>
      <c r="E106" s="48">
        <f t="shared" ref="E106:N106" si="115">SUM(E107:E109)</f>
        <v>15126125</v>
      </c>
      <c r="F106" s="48">
        <f t="shared" ref="F106:G106" si="116">SUM(F107:F109)</f>
        <v>95518309</v>
      </c>
      <c r="G106" s="48">
        <f t="shared" si="116"/>
        <v>26140932</v>
      </c>
      <c r="H106" s="48">
        <f t="shared" ref="H106:I106" si="117">SUM(H107:H109)</f>
        <v>74026712</v>
      </c>
      <c r="I106" s="48">
        <f t="shared" si="117"/>
        <v>99658335</v>
      </c>
      <c r="J106" s="48">
        <f t="shared" ref="J106:K106" si="118">SUM(J107:J109)</f>
        <v>38275852</v>
      </c>
      <c r="K106" s="48">
        <f t="shared" si="118"/>
        <v>36072378</v>
      </c>
      <c r="L106" s="48">
        <f t="shared" ref="L106:M106" si="119">SUM(L107:L109)</f>
        <v>28768726</v>
      </c>
      <c r="M106" s="48">
        <f t="shared" si="119"/>
        <v>41050751</v>
      </c>
      <c r="N106" s="48">
        <f t="shared" si="115"/>
        <v>470448255</v>
      </c>
      <c r="O106" s="85">
        <f t="shared" ref="O106:O117" si="120">+N99/((B99/12)*10)</f>
        <v>0.8043848566666667</v>
      </c>
      <c r="P106" s="48">
        <f>SUM(P107:P109)</f>
        <v>817799605.22099161</v>
      </c>
      <c r="Q106" s="93">
        <f t="shared" si="84"/>
        <v>0.44861770401825174</v>
      </c>
    </row>
    <row r="107" spans="1:17" ht="15.75" hidden="1" x14ac:dyDescent="0.25">
      <c r="A107" s="36" t="s">
        <v>122</v>
      </c>
      <c r="B107" s="38">
        <v>100000000</v>
      </c>
      <c r="C107" s="35">
        <f t="shared" ref="C107:C109" si="121">+B107/12</f>
        <v>8333333.333333333</v>
      </c>
      <c r="D107" s="64">
        <v>15810135</v>
      </c>
      <c r="E107" s="64">
        <v>14709625</v>
      </c>
      <c r="F107" s="64">
        <v>10254159</v>
      </c>
      <c r="G107" s="64">
        <v>18543972</v>
      </c>
      <c r="H107" s="64">
        <v>2828392</v>
      </c>
      <c r="I107" s="64">
        <v>38913000</v>
      </c>
      <c r="J107" s="64">
        <v>5831000</v>
      </c>
      <c r="K107" s="64">
        <v>12030094</v>
      </c>
      <c r="L107" s="64">
        <v>1418242</v>
      </c>
      <c r="M107" s="64">
        <v>25124267</v>
      </c>
      <c r="N107" s="64">
        <f t="shared" ref="N107:N109" si="122">+E107+D107+F107+G107+H107+I107+J107+K107+L107+M107</f>
        <v>145462886</v>
      </c>
      <c r="O107" s="85">
        <f t="shared" si="120"/>
        <v>0.23668965266666667</v>
      </c>
      <c r="P107" s="64">
        <v>358314260.01950657</v>
      </c>
      <c r="Q107" s="93">
        <f t="shared" si="84"/>
        <v>1.0527244089115775</v>
      </c>
    </row>
    <row r="108" spans="1:17" ht="15.75" hidden="1" x14ac:dyDescent="0.25">
      <c r="A108" s="36" t="s">
        <v>123</v>
      </c>
      <c r="B108" s="38">
        <v>253000000</v>
      </c>
      <c r="C108" s="35">
        <f t="shared" si="121"/>
        <v>21083333.333333332</v>
      </c>
      <c r="D108" s="64">
        <v>0</v>
      </c>
      <c r="E108" s="64">
        <v>0</v>
      </c>
      <c r="F108" s="64">
        <v>85264150</v>
      </c>
      <c r="G108" s="64">
        <v>7596960</v>
      </c>
      <c r="H108" s="64">
        <v>61675940</v>
      </c>
      <c r="I108" s="64">
        <v>60745335</v>
      </c>
      <c r="J108" s="64">
        <v>32281364</v>
      </c>
      <c r="K108" s="64">
        <v>24042284</v>
      </c>
      <c r="L108" s="64">
        <v>27350484</v>
      </c>
      <c r="M108" s="64">
        <v>15926484</v>
      </c>
      <c r="N108" s="64">
        <f t="shared" si="122"/>
        <v>314883001</v>
      </c>
      <c r="O108" s="85">
        <f t="shared" si="120"/>
        <v>0.92097978362341804</v>
      </c>
      <c r="P108" s="64">
        <v>106651185.62933549</v>
      </c>
      <c r="Q108" s="93">
        <f t="shared" si="84"/>
        <v>-0.71774917114548775</v>
      </c>
    </row>
    <row r="109" spans="1:17" ht="15.75" hidden="1" x14ac:dyDescent="0.25">
      <c r="A109" s="36" t="s">
        <v>124</v>
      </c>
      <c r="B109" s="38">
        <v>450000000</v>
      </c>
      <c r="C109" s="35">
        <f t="shared" si="121"/>
        <v>37500000</v>
      </c>
      <c r="D109" s="64">
        <v>0</v>
      </c>
      <c r="E109" s="64">
        <v>416500</v>
      </c>
      <c r="F109" s="64">
        <v>0</v>
      </c>
      <c r="G109" s="64">
        <v>0</v>
      </c>
      <c r="H109" s="64">
        <v>9522380</v>
      </c>
      <c r="I109" s="64">
        <v>0</v>
      </c>
      <c r="J109" s="64">
        <v>163488</v>
      </c>
      <c r="K109" s="64">
        <v>0</v>
      </c>
      <c r="L109" s="64">
        <v>0</v>
      </c>
      <c r="M109" s="64">
        <v>0</v>
      </c>
      <c r="N109" s="64">
        <f t="shared" si="122"/>
        <v>10102368</v>
      </c>
      <c r="O109" s="85">
        <f t="shared" si="120"/>
        <v>0.37536805333333334</v>
      </c>
      <c r="P109" s="64">
        <v>352834159.57214946</v>
      </c>
      <c r="Q109" s="93">
        <f t="shared" si="84"/>
        <v>28.104905534041574</v>
      </c>
    </row>
    <row r="110" spans="1:17" ht="15.75" x14ac:dyDescent="0.2">
      <c r="A110" s="48" t="s">
        <v>81</v>
      </c>
      <c r="B110" s="48">
        <f>SUM(B111:B114)</f>
        <v>1143816312.5799999</v>
      </c>
      <c r="C110" s="48">
        <f>SUM(C111:C114)</f>
        <v>95318026.048333332</v>
      </c>
      <c r="D110" s="48">
        <f>SUM(D111:D114)</f>
        <v>22537096</v>
      </c>
      <c r="E110" s="48">
        <f t="shared" ref="E110:N110" si="123">SUM(E111:E114)</f>
        <v>20645999</v>
      </c>
      <c r="F110" s="48">
        <f t="shared" ref="F110:G110" si="124">SUM(F111:F114)</f>
        <v>16468191</v>
      </c>
      <c r="G110" s="48">
        <f t="shared" si="124"/>
        <v>846739</v>
      </c>
      <c r="H110" s="48">
        <f t="shared" ref="H110:I110" si="125">SUM(H111:H114)</f>
        <v>31247397</v>
      </c>
      <c r="I110" s="48">
        <f t="shared" si="125"/>
        <v>20075217</v>
      </c>
      <c r="J110" s="48">
        <f t="shared" ref="J110:K110" si="126">SUM(J111:J114)</f>
        <v>27211717</v>
      </c>
      <c r="K110" s="48">
        <f t="shared" si="126"/>
        <v>20973362</v>
      </c>
      <c r="L110" s="48">
        <f t="shared" ref="L110:M110" si="127">SUM(L111:L114)</f>
        <v>21152700</v>
      </c>
      <c r="M110" s="48">
        <f t="shared" si="127"/>
        <v>24976155</v>
      </c>
      <c r="N110" s="48">
        <f t="shared" si="123"/>
        <v>206134573</v>
      </c>
      <c r="O110" s="85">
        <f t="shared" si="120"/>
        <v>0.23366141999999998</v>
      </c>
      <c r="P110" s="48">
        <f>SUM(P111:P114)</f>
        <v>715525594.62756777</v>
      </c>
      <c r="Q110" s="93">
        <f t="shared" si="84"/>
        <v>1.8926313532873809</v>
      </c>
    </row>
    <row r="111" spans="1:17" ht="15.75" hidden="1" x14ac:dyDescent="0.25">
      <c r="A111" s="36" t="s">
        <v>125</v>
      </c>
      <c r="B111" s="38">
        <v>148816312.57999998</v>
      </c>
      <c r="C111" s="35">
        <f t="shared" ref="C111:C114" si="128">+B111/12</f>
        <v>12401359.381666666</v>
      </c>
      <c r="D111" s="64">
        <v>17710158</v>
      </c>
      <c r="E111" s="64">
        <v>16624999</v>
      </c>
      <c r="F111" s="64">
        <v>6651300</v>
      </c>
      <c r="G111" s="64">
        <v>9119630</v>
      </c>
      <c r="H111" s="64">
        <v>28581397</v>
      </c>
      <c r="I111" s="64">
        <v>15414878</v>
      </c>
      <c r="J111" s="64">
        <v>18176717</v>
      </c>
      <c r="K111" s="64">
        <v>19433362</v>
      </c>
      <c r="L111" s="64">
        <v>18005180</v>
      </c>
      <c r="M111" s="64">
        <v>17431452</v>
      </c>
      <c r="N111" s="64">
        <f t="shared" ref="N111:N114" si="129">+E111+D111+F111+G111+H111+I111+J111+K111+L111+M111</f>
        <v>167149073</v>
      </c>
      <c r="O111" s="85">
        <f t="shared" si="120"/>
        <v>0.45961706950302667</v>
      </c>
      <c r="P111" s="64">
        <v>244658502.34311026</v>
      </c>
      <c r="Q111" s="93">
        <f t="shared" si="84"/>
        <v>0.21976198627153143</v>
      </c>
    </row>
    <row r="112" spans="1:17" ht="15.75" hidden="1" x14ac:dyDescent="0.25">
      <c r="A112" s="36" t="s">
        <v>167</v>
      </c>
      <c r="B112" s="38">
        <v>270000000</v>
      </c>
      <c r="C112" s="35">
        <f t="shared" si="128"/>
        <v>22500000</v>
      </c>
      <c r="E112" s="64">
        <v>1845000</v>
      </c>
      <c r="F112" s="64">
        <v>0</v>
      </c>
      <c r="G112" s="64">
        <v>0</v>
      </c>
      <c r="H112" s="64">
        <v>0</v>
      </c>
      <c r="I112" s="64">
        <v>2490339</v>
      </c>
      <c r="J112" s="64">
        <f>652000+5474000</f>
        <v>6126000</v>
      </c>
      <c r="K112" s="64">
        <v>0</v>
      </c>
      <c r="L112" s="64">
        <v>1768520</v>
      </c>
      <c r="M112" s="64">
        <v>1348700</v>
      </c>
      <c r="N112" s="64">
        <f t="shared" si="129"/>
        <v>13578559</v>
      </c>
      <c r="O112" s="85">
        <f t="shared" si="120"/>
        <v>2.613239664</v>
      </c>
      <c r="P112" s="64">
        <v>136580964.99567077</v>
      </c>
      <c r="Q112" s="93">
        <f t="shared" si="84"/>
        <v>7.3821465024179407</v>
      </c>
    </row>
    <row r="113" spans="1:17" ht="15.75" hidden="1" x14ac:dyDescent="0.25">
      <c r="A113" s="36" t="s">
        <v>126</v>
      </c>
      <c r="B113" s="38">
        <v>340000000</v>
      </c>
      <c r="C113" s="35">
        <f t="shared" si="128"/>
        <v>28333333.333333332</v>
      </c>
      <c r="D113" s="64">
        <v>4826938</v>
      </c>
      <c r="E113" s="64"/>
      <c r="F113" s="64">
        <v>9252891</v>
      </c>
      <c r="G113" s="64">
        <v>-9252891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4582691</v>
      </c>
      <c r="N113" s="64">
        <f t="shared" si="129"/>
        <v>9409629</v>
      </c>
      <c r="O113" s="85">
        <f t="shared" si="120"/>
        <v>0.70303599750933998</v>
      </c>
      <c r="P113" s="64">
        <v>171990844.80936319</v>
      </c>
      <c r="Q113" s="93">
        <f t="shared" si="84"/>
        <v>14.23181243466694</v>
      </c>
    </row>
    <row r="114" spans="1:17" ht="15.75" hidden="1" x14ac:dyDescent="0.25">
      <c r="A114" s="36" t="s">
        <v>127</v>
      </c>
      <c r="B114" s="38">
        <v>385000000</v>
      </c>
      <c r="C114" s="35">
        <f t="shared" si="128"/>
        <v>32083333.333333332</v>
      </c>
      <c r="D114" s="64"/>
      <c r="E114" s="64">
        <v>2176000</v>
      </c>
      <c r="F114" s="64">
        <v>564000</v>
      </c>
      <c r="G114" s="64">
        <v>980000</v>
      </c>
      <c r="H114" s="64">
        <v>2666000</v>
      </c>
      <c r="I114" s="64">
        <v>2170000</v>
      </c>
      <c r="J114" s="64">
        <v>2909000</v>
      </c>
      <c r="K114" s="64">
        <v>1540000</v>
      </c>
      <c r="L114" s="64">
        <v>1379000</v>
      </c>
      <c r="M114" s="64">
        <v>1613312</v>
      </c>
      <c r="N114" s="64">
        <f t="shared" si="129"/>
        <v>15997312</v>
      </c>
      <c r="O114" s="85">
        <f t="shared" si="120"/>
        <v>1.7455546320000002</v>
      </c>
      <c r="P114" s="64">
        <v>162295282.47942358</v>
      </c>
      <c r="Q114" s="93">
        <f t="shared" si="84"/>
        <v>7.4542996181391601</v>
      </c>
    </row>
    <row r="115" spans="1:17" ht="15.75" x14ac:dyDescent="0.2">
      <c r="A115" s="48" t="s">
        <v>128</v>
      </c>
      <c r="B115" s="48">
        <f>SUM(B116:B117)</f>
        <v>84000000</v>
      </c>
      <c r="C115" s="48">
        <f t="shared" ref="C115:M115" si="130">SUM(C116:C117)</f>
        <v>7000000</v>
      </c>
      <c r="D115" s="48">
        <f t="shared" si="130"/>
        <v>0</v>
      </c>
      <c r="E115" s="48">
        <f t="shared" si="130"/>
        <v>131300</v>
      </c>
      <c r="F115" s="48">
        <f t="shared" si="130"/>
        <v>44200</v>
      </c>
      <c r="G115" s="48">
        <f t="shared" si="130"/>
        <v>2060610</v>
      </c>
      <c r="H115" s="48">
        <f t="shared" si="130"/>
        <v>0</v>
      </c>
      <c r="I115" s="48">
        <f t="shared" si="130"/>
        <v>46223</v>
      </c>
      <c r="J115" s="48">
        <f t="shared" si="130"/>
        <v>139899</v>
      </c>
      <c r="K115" s="48">
        <f t="shared" si="130"/>
        <v>1129100</v>
      </c>
      <c r="L115" s="48">
        <f t="shared" si="130"/>
        <v>403262</v>
      </c>
      <c r="M115" s="48">
        <f t="shared" si="130"/>
        <v>185673</v>
      </c>
      <c r="N115" s="48">
        <f>SUM(N116:N117)</f>
        <v>4140267</v>
      </c>
      <c r="O115" s="85">
        <f t="shared" si="120"/>
        <v>1.4935162102766799</v>
      </c>
      <c r="P115" s="48">
        <f>SUM(P116:P118)</f>
        <v>345000000</v>
      </c>
      <c r="Q115" s="93">
        <f t="shared" si="84"/>
        <v>68.439966069821097</v>
      </c>
    </row>
    <row r="116" spans="1:17" ht="15.75" hidden="1" x14ac:dyDescent="0.25">
      <c r="A116" s="36" t="s">
        <v>129</v>
      </c>
      <c r="B116" s="40">
        <v>60000000</v>
      </c>
      <c r="C116" s="35">
        <f t="shared" ref="C116:C117" si="131">+B116/12</f>
        <v>5000000</v>
      </c>
      <c r="D116" s="64">
        <v>0</v>
      </c>
      <c r="E116" s="64">
        <v>131300</v>
      </c>
      <c r="F116" s="64">
        <v>44200</v>
      </c>
      <c r="G116" s="64">
        <v>2060610</v>
      </c>
      <c r="H116" s="64">
        <v>0</v>
      </c>
      <c r="I116" s="64">
        <v>46223</v>
      </c>
      <c r="J116" s="64">
        <v>139899</v>
      </c>
      <c r="K116" s="64">
        <v>1129100</v>
      </c>
      <c r="L116" s="64">
        <v>403262</v>
      </c>
      <c r="M116" s="64">
        <v>185673</v>
      </c>
      <c r="N116" s="64">
        <f t="shared" ref="N116:N117" si="132">+E116+D116+F116+G116+H116+I116+J116+K116+L116+M116</f>
        <v>4140267</v>
      </c>
      <c r="O116" s="85">
        <f t="shared" si="120"/>
        <v>2.6939648E-2</v>
      </c>
      <c r="P116" s="64">
        <v>240000000</v>
      </c>
      <c r="Q116" s="93">
        <f t="shared" si="84"/>
        <v>47.306063352919026</v>
      </c>
    </row>
    <row r="117" spans="1:17" ht="15.75" hidden="1" x14ac:dyDescent="0.25">
      <c r="A117" s="36" t="s">
        <v>130</v>
      </c>
      <c r="B117" s="40">
        <v>24000000</v>
      </c>
      <c r="C117" s="35">
        <f t="shared" si="131"/>
        <v>2000000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/>
      <c r="L117" s="64">
        <v>0</v>
      </c>
      <c r="M117" s="64">
        <v>0</v>
      </c>
      <c r="N117" s="64">
        <f t="shared" si="132"/>
        <v>0</v>
      </c>
      <c r="O117" s="85">
        <f t="shared" si="120"/>
        <v>0.21625980052867905</v>
      </c>
      <c r="P117" s="64">
        <v>5000000</v>
      </c>
      <c r="Q117" s="93"/>
    </row>
    <row r="118" spans="1:17" ht="15.75" hidden="1" x14ac:dyDescent="0.25">
      <c r="A118" s="36" t="s">
        <v>247</v>
      </c>
      <c r="B118" s="40"/>
      <c r="C118" s="35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85"/>
      <c r="P118" s="64">
        <v>100000000</v>
      </c>
      <c r="Q118" s="93"/>
    </row>
    <row r="119" spans="1:17" ht="15.75" x14ac:dyDescent="0.2">
      <c r="A119" s="48" t="s">
        <v>131</v>
      </c>
      <c r="B119" s="48">
        <f>SUM(B120:B122)</f>
        <v>9659235325.9333324</v>
      </c>
      <c r="C119" s="48">
        <f>SUM(C120:C122)</f>
        <v>804936277.16111112</v>
      </c>
      <c r="D119" s="48">
        <f t="shared" ref="D119:N119" si="133">SUM(D120:D122)</f>
        <v>14933681</v>
      </c>
      <c r="E119" s="48">
        <f t="shared" si="133"/>
        <v>527886222</v>
      </c>
      <c r="F119" s="48">
        <f t="shared" ref="F119:G119" si="134">SUM(F120:F122)</f>
        <v>528195778</v>
      </c>
      <c r="G119" s="48">
        <f t="shared" si="134"/>
        <v>523985372</v>
      </c>
      <c r="H119" s="48">
        <f t="shared" ref="H119:I119" si="135">SUM(H120:H122)</f>
        <v>505204736</v>
      </c>
      <c r="I119" s="48">
        <f t="shared" si="135"/>
        <v>487836803</v>
      </c>
      <c r="J119" s="48">
        <f t="shared" ref="J119:K119" si="136">SUM(J120:J122)</f>
        <v>492597546</v>
      </c>
      <c r="K119" s="48">
        <f t="shared" si="136"/>
        <v>459908845</v>
      </c>
      <c r="L119" s="48">
        <f t="shared" ref="L119:M119" si="137">SUM(L120:L122)</f>
        <v>457432630</v>
      </c>
      <c r="M119" s="48">
        <f t="shared" si="137"/>
        <v>472876649</v>
      </c>
      <c r="N119" s="48">
        <f t="shared" si="133"/>
        <v>4470858262</v>
      </c>
      <c r="O119" s="85">
        <f t="shared" ref="O119:O125" si="138">+N111/((B111/12)*10)</f>
        <v>1.3478286360050329</v>
      </c>
      <c r="P119" s="48">
        <f>SUM(P120:P122)</f>
        <v>5717494458.0666981</v>
      </c>
      <c r="Q119" s="93">
        <f t="shared" si="84"/>
        <v>6.5696659532254786E-2</v>
      </c>
    </row>
    <row r="120" spans="1:17" ht="15.75" hidden="1" x14ac:dyDescent="0.25">
      <c r="A120" s="36" t="s">
        <v>132</v>
      </c>
      <c r="B120" s="38">
        <v>0</v>
      </c>
      <c r="C120" s="35">
        <f t="shared" ref="C120:C122" si="139">+B120/12</f>
        <v>0</v>
      </c>
      <c r="D120" s="64">
        <v>9279771</v>
      </c>
      <c r="E120" s="64">
        <v>858821</v>
      </c>
      <c r="F120" s="64">
        <v>153651</v>
      </c>
      <c r="G120" s="64">
        <v>187007</v>
      </c>
      <c r="H120" s="64">
        <v>27391433</v>
      </c>
      <c r="I120" s="64">
        <v>509760</v>
      </c>
      <c r="J120" s="64">
        <v>15521037</v>
      </c>
      <c r="K120" s="64">
        <v>0</v>
      </c>
      <c r="L120" s="64">
        <v>29454</v>
      </c>
      <c r="M120" s="78">
        <v>17501600</v>
      </c>
      <c r="N120" s="64">
        <f t="shared" ref="N120:N122" si="140">+E120+D120+F120+G120+H120+I120+J120+K120+L120+M120</f>
        <v>71432534</v>
      </c>
      <c r="O120" s="85">
        <f t="shared" si="138"/>
        <v>6.034915111111111E-2</v>
      </c>
      <c r="P120" s="64">
        <v>0</v>
      </c>
      <c r="Q120" s="93">
        <f t="shared" si="84"/>
        <v>-1</v>
      </c>
    </row>
    <row r="121" spans="1:17" ht="15.75" hidden="1" x14ac:dyDescent="0.25">
      <c r="A121" s="36" t="s">
        <v>133</v>
      </c>
      <c r="B121" s="38">
        <v>67035325.93333333</v>
      </c>
      <c r="C121" s="35">
        <f t="shared" si="139"/>
        <v>5586277.1611111108</v>
      </c>
      <c r="D121" s="64">
        <v>5653910</v>
      </c>
      <c r="E121" s="64">
        <v>33001973</v>
      </c>
      <c r="F121" s="64">
        <v>17020238</v>
      </c>
      <c r="G121" s="64">
        <v>19194234</v>
      </c>
      <c r="H121" s="64">
        <v>-17798931</v>
      </c>
      <c r="I121" s="64">
        <v>7053928</v>
      </c>
      <c r="J121" s="64">
        <v>7911033</v>
      </c>
      <c r="K121" s="64">
        <v>8727164</v>
      </c>
      <c r="L121" s="64">
        <v>8337235</v>
      </c>
      <c r="M121" s="78">
        <v>7895914</v>
      </c>
      <c r="N121" s="64">
        <f t="shared" si="140"/>
        <v>96996698</v>
      </c>
      <c r="O121" s="85">
        <f t="shared" si="138"/>
        <v>3.3210455294117647E-2</v>
      </c>
      <c r="P121" s="64">
        <v>56516972.25169123</v>
      </c>
      <c r="Q121" s="93">
        <f t="shared" si="84"/>
        <v>-0.51444247229519757</v>
      </c>
    </row>
    <row r="122" spans="1:17" ht="15.75" hidden="1" x14ac:dyDescent="0.25">
      <c r="A122" s="36" t="s">
        <v>134</v>
      </c>
      <c r="B122" s="38">
        <v>9592200000</v>
      </c>
      <c r="C122" s="35">
        <f t="shared" si="139"/>
        <v>799350000</v>
      </c>
      <c r="D122" s="64"/>
      <c r="E122" s="64">
        <v>494025428</v>
      </c>
      <c r="F122" s="64">
        <v>511021889</v>
      </c>
      <c r="G122" s="64">
        <v>504604131</v>
      </c>
      <c r="H122" s="64">
        <v>495612234</v>
      </c>
      <c r="I122" s="64">
        <v>480273115</v>
      </c>
      <c r="J122" s="64">
        <v>469165476</v>
      </c>
      <c r="K122" s="64">
        <v>451181681</v>
      </c>
      <c r="L122" s="64">
        <v>449065941</v>
      </c>
      <c r="M122" s="78">
        <v>447479135</v>
      </c>
      <c r="N122" s="64">
        <f t="shared" si="140"/>
        <v>4302429030</v>
      </c>
      <c r="O122" s="85">
        <f t="shared" si="138"/>
        <v>4.9861751688311688E-2</v>
      </c>
      <c r="P122" s="64">
        <f>8087110694.02144*0.7</f>
        <v>5660977485.8150072</v>
      </c>
      <c r="Q122" s="93">
        <f t="shared" si="84"/>
        <v>9.6469274748077094E-2</v>
      </c>
    </row>
    <row r="123" spans="1:17" ht="15.75" x14ac:dyDescent="0.25">
      <c r="A123" s="71" t="s">
        <v>39</v>
      </c>
      <c r="B123" s="72">
        <f>SUM(B124:B126)</f>
        <v>1081027564.74</v>
      </c>
      <c r="C123" s="72">
        <f>SUM(C124:C126)</f>
        <v>90085630.394999996</v>
      </c>
      <c r="D123" s="72">
        <f>SUM(D124:D126)</f>
        <v>559207</v>
      </c>
      <c r="E123" s="72">
        <f t="shared" ref="E123:N123" si="141">SUM(E124:E126)</f>
        <v>398349</v>
      </c>
      <c r="F123" s="72">
        <f t="shared" ref="F123:G123" si="142">SUM(F124:F126)</f>
        <v>260391</v>
      </c>
      <c r="G123" s="72">
        <f t="shared" si="142"/>
        <v>138167117</v>
      </c>
      <c r="H123" s="72">
        <f t="shared" ref="H123:I123" si="143">SUM(H124:H126)</f>
        <v>293009</v>
      </c>
      <c r="I123" s="72">
        <f t="shared" si="143"/>
        <v>437562</v>
      </c>
      <c r="J123" s="72">
        <f t="shared" ref="J123:K123" si="144">SUM(J124:J126)</f>
        <v>431444</v>
      </c>
      <c r="K123" s="72">
        <f t="shared" si="144"/>
        <v>417366</v>
      </c>
      <c r="L123" s="72">
        <f t="shared" ref="L123:M123" si="145">SUM(L124:L126)</f>
        <v>4135840</v>
      </c>
      <c r="M123" s="72">
        <f t="shared" si="145"/>
        <v>52117998</v>
      </c>
      <c r="N123" s="72">
        <f t="shared" si="141"/>
        <v>197218283</v>
      </c>
      <c r="O123" s="85">
        <f t="shared" si="138"/>
        <v>5.9146671428571426E-2</v>
      </c>
      <c r="P123" s="72">
        <f>SUM(P124:P126)</f>
        <v>205707757.66509444</v>
      </c>
      <c r="Q123" s="93">
        <f t="shared" si="84"/>
        <v>-0.13079493047011936</v>
      </c>
    </row>
    <row r="124" spans="1:17" ht="15.75" hidden="1" x14ac:dyDescent="0.25">
      <c r="A124" s="36" t="s">
        <v>135</v>
      </c>
      <c r="B124" s="44">
        <v>6987564.7400000002</v>
      </c>
      <c r="C124" s="35">
        <f t="shared" ref="C124:C126" si="146">+B124/12</f>
        <v>582297.06166666665</v>
      </c>
      <c r="D124" s="64">
        <v>559207</v>
      </c>
      <c r="E124" s="64">
        <v>398349</v>
      </c>
      <c r="F124" s="64">
        <v>260391</v>
      </c>
      <c r="G124" s="64">
        <v>276317</v>
      </c>
      <c r="H124" s="64">
        <v>293009</v>
      </c>
      <c r="I124" s="64">
        <v>437562</v>
      </c>
      <c r="J124" s="64">
        <v>431444</v>
      </c>
      <c r="K124" s="64">
        <v>417366</v>
      </c>
      <c r="L124" s="64">
        <v>447255</v>
      </c>
      <c r="M124" s="64">
        <v>408948</v>
      </c>
      <c r="N124" s="64">
        <f t="shared" ref="N124:N126" si="147">+E124+D124+F124+G124+H124+I124+J124+K124+L124+M124</f>
        <v>3929848</v>
      </c>
      <c r="O124" s="85">
        <f t="shared" si="138"/>
        <v>8.2805340000000005E-2</v>
      </c>
      <c r="P124" s="64">
        <v>141919.62358559968</v>
      </c>
      <c r="Q124" s="93">
        <f t="shared" si="84"/>
        <v>-0.9699056164543769</v>
      </c>
    </row>
    <row r="125" spans="1:17" ht="15.75" hidden="1" x14ac:dyDescent="0.25">
      <c r="A125" s="36" t="s">
        <v>136</v>
      </c>
      <c r="B125" s="38">
        <v>274040000</v>
      </c>
      <c r="C125" s="35">
        <f t="shared" si="146"/>
        <v>22836666.666666668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/>
      <c r="M125" s="64"/>
      <c r="N125" s="64">
        <f t="shared" si="147"/>
        <v>0</v>
      </c>
      <c r="O125" s="85">
        <f t="shared" si="138"/>
        <v>0</v>
      </c>
      <c r="P125" s="64">
        <v>5565838.0415088264</v>
      </c>
      <c r="Q125" s="93"/>
    </row>
    <row r="126" spans="1:17" ht="15.75" hidden="1" x14ac:dyDescent="0.25">
      <c r="A126" s="36" t="s">
        <v>137</v>
      </c>
      <c r="B126" s="41">
        <v>800000000</v>
      </c>
      <c r="C126" s="35">
        <f t="shared" si="146"/>
        <v>66666666.666666664</v>
      </c>
      <c r="D126" s="65">
        <v>0</v>
      </c>
      <c r="E126" s="65">
        <v>0</v>
      </c>
      <c r="F126" s="65">
        <v>0</v>
      </c>
      <c r="G126" s="65">
        <v>137890800</v>
      </c>
      <c r="H126" s="65">
        <v>0</v>
      </c>
      <c r="I126" s="65">
        <v>0</v>
      </c>
      <c r="J126" s="65">
        <v>0</v>
      </c>
      <c r="K126" s="65">
        <v>0</v>
      </c>
      <c r="L126" s="64">
        <v>3688585</v>
      </c>
      <c r="M126" s="64">
        <v>51709050</v>
      </c>
      <c r="N126" s="64">
        <f t="shared" si="147"/>
        <v>193288435</v>
      </c>
      <c r="O126" s="85">
        <f>+N119/((B119/12)*10)</f>
        <v>0.55543008668562488</v>
      </c>
      <c r="P126" s="64">
        <v>200000000</v>
      </c>
      <c r="Q126" s="93">
        <f t="shared" si="84"/>
        <v>-0.13773078732482535</v>
      </c>
    </row>
    <row r="127" spans="1:17" ht="15.75" x14ac:dyDescent="0.25">
      <c r="A127" s="30" t="s">
        <v>40</v>
      </c>
      <c r="B127" s="45">
        <f>B128+B132+B136</f>
        <v>28053238605.071999</v>
      </c>
      <c r="C127" s="45">
        <f>C128+C132+C136</f>
        <v>2337769883.756</v>
      </c>
      <c r="D127" s="45">
        <f>D128+D132+D136</f>
        <v>18664893</v>
      </c>
      <c r="E127" s="45">
        <f t="shared" ref="E127:F127" si="148">E128+E132+E136</f>
        <v>33840794</v>
      </c>
      <c r="F127" s="45">
        <f t="shared" si="148"/>
        <v>1002286438</v>
      </c>
      <c r="G127" s="45">
        <f t="shared" ref="G127:H127" si="149">G128+G132+G136</f>
        <v>328361746</v>
      </c>
      <c r="H127" s="45">
        <f t="shared" si="149"/>
        <v>345897307</v>
      </c>
      <c r="I127" s="45">
        <f t="shared" ref="I127:J127" si="150">I128+I132+I136</f>
        <v>325176334</v>
      </c>
      <c r="J127" s="45">
        <f t="shared" si="150"/>
        <v>328414430</v>
      </c>
      <c r="K127" s="45">
        <f t="shared" ref="K127:L127" si="151">K128+K132+K136</f>
        <v>349716071</v>
      </c>
      <c r="L127" s="45">
        <f t="shared" si="151"/>
        <v>346249747</v>
      </c>
      <c r="M127" s="45">
        <f t="shared" ref="M127" si="152">M128+M132+M136</f>
        <v>435872300</v>
      </c>
      <c r="N127" s="45">
        <f>N128+N132+N136</f>
        <v>3514480060</v>
      </c>
      <c r="O127" s="85"/>
      <c r="P127" s="45">
        <f>+P128+P132+P136</f>
        <v>12505811016.510122</v>
      </c>
      <c r="Q127" s="93">
        <f t="shared" si="84"/>
        <v>1.965306105741599</v>
      </c>
    </row>
    <row r="128" spans="1:17" ht="15.75" hidden="1" x14ac:dyDescent="0.2">
      <c r="A128" s="48" t="s">
        <v>257</v>
      </c>
      <c r="B128" s="48">
        <f>SUM(B129:B131)</f>
        <v>310329712.972</v>
      </c>
      <c r="C128" s="48">
        <f>SUM(C129:C131)</f>
        <v>25860809.414333332</v>
      </c>
      <c r="D128" s="48">
        <f>SUM(D129:D131)</f>
        <v>9207799</v>
      </c>
      <c r="E128" s="48">
        <f t="shared" ref="E128:N128" si="153">SUM(E129:E131)</f>
        <v>21541213</v>
      </c>
      <c r="F128" s="48">
        <f t="shared" ref="F128:G128" si="154">SUM(F129:F131)</f>
        <v>8976497</v>
      </c>
      <c r="G128" s="48">
        <f t="shared" si="154"/>
        <v>3042369</v>
      </c>
      <c r="H128" s="48">
        <f t="shared" ref="H128:I128" si="155">SUM(H129:H131)</f>
        <v>25625248</v>
      </c>
      <c r="I128" s="48">
        <f t="shared" si="155"/>
        <v>14365748</v>
      </c>
      <c r="J128" s="48">
        <f t="shared" ref="J128:K128" si="156">SUM(J129:J131)</f>
        <v>8361763</v>
      </c>
      <c r="K128" s="48">
        <f t="shared" si="156"/>
        <v>21620175</v>
      </c>
      <c r="L128" s="48">
        <f t="shared" ref="L128:M128" si="157">SUM(L129:L131)</f>
        <v>17035923</v>
      </c>
      <c r="M128" s="48">
        <f t="shared" si="157"/>
        <v>274033</v>
      </c>
      <c r="N128" s="48">
        <f t="shared" si="153"/>
        <v>130050768</v>
      </c>
      <c r="O128" s="85">
        <f t="shared" ref="O128:O137" si="158">+N121/((B121/12)*10)</f>
        <v>1.7363388031521758</v>
      </c>
      <c r="P128" s="48">
        <f>SUM(P129:P131)</f>
        <v>289910135.25556928</v>
      </c>
      <c r="Q128" s="93">
        <f t="shared" si="84"/>
        <v>0.8576728388073882</v>
      </c>
    </row>
    <row r="129" spans="1:18" ht="15.75" hidden="1" x14ac:dyDescent="0.25">
      <c r="A129" s="36" t="s">
        <v>138</v>
      </c>
      <c r="B129" s="38">
        <v>250000000</v>
      </c>
      <c r="C129" s="35">
        <f t="shared" ref="C129:C131" si="159">+B129/12</f>
        <v>20833333.333333332</v>
      </c>
      <c r="D129" s="64">
        <v>9186300</v>
      </c>
      <c r="E129" s="64">
        <v>21317088</v>
      </c>
      <c r="F129" s="64">
        <v>8488928</v>
      </c>
      <c r="G129" s="64">
        <v>3017320</v>
      </c>
      <c r="H129" s="64">
        <v>25606215</v>
      </c>
      <c r="I129" s="64">
        <v>14333715</v>
      </c>
      <c r="J129" s="64">
        <v>8342730</v>
      </c>
      <c r="K129" s="64">
        <v>20132900</v>
      </c>
      <c r="L129" s="64">
        <v>16559930</v>
      </c>
      <c r="M129" s="64">
        <v>255000</v>
      </c>
      <c r="N129" s="64">
        <f t="shared" ref="N129:N131" si="160">+E129+D129+F129+G129+H129+I129+J129+K129+L129+M129</f>
        <v>127240126</v>
      </c>
      <c r="O129" s="85">
        <f t="shared" si="158"/>
        <v>0.53824094952148616</v>
      </c>
      <c r="P129" s="64">
        <v>177881996.26422778</v>
      </c>
      <c r="Q129" s="93">
        <f t="shared" si="84"/>
        <v>0.16500196555021085</v>
      </c>
    </row>
    <row r="130" spans="1:18" ht="15.75" hidden="1" x14ac:dyDescent="0.25">
      <c r="A130" s="36" t="s">
        <v>139</v>
      </c>
      <c r="B130" s="38">
        <v>42329712.972000003</v>
      </c>
      <c r="C130" s="35">
        <f t="shared" si="159"/>
        <v>3527476.0810000002</v>
      </c>
      <c r="D130" s="64"/>
      <c r="E130" s="64">
        <v>18725</v>
      </c>
      <c r="F130" s="64">
        <v>19069</v>
      </c>
      <c r="G130" s="64">
        <v>19049</v>
      </c>
      <c r="H130" s="64">
        <v>19033</v>
      </c>
      <c r="I130" s="64">
        <v>19033</v>
      </c>
      <c r="J130" s="64">
        <v>19033</v>
      </c>
      <c r="K130" s="64">
        <v>25003</v>
      </c>
      <c r="L130" s="64">
        <v>19033</v>
      </c>
      <c r="M130" s="64">
        <v>19033</v>
      </c>
      <c r="N130" s="64">
        <f t="shared" si="160"/>
        <v>177011</v>
      </c>
      <c r="O130" s="85">
        <f t="shared" si="158"/>
        <v>0.21892313139759764</v>
      </c>
      <c r="P130" s="64">
        <v>64000000</v>
      </c>
      <c r="Q130" s="93">
        <f t="shared" si="84"/>
        <v>300.29954258963193</v>
      </c>
    </row>
    <row r="131" spans="1:18" ht="15.75" hidden="1" x14ac:dyDescent="0.25">
      <c r="A131" s="36" t="s">
        <v>140</v>
      </c>
      <c r="B131" s="38">
        <v>18000000</v>
      </c>
      <c r="C131" s="35">
        <f t="shared" si="159"/>
        <v>1500000</v>
      </c>
      <c r="D131" s="64">
        <v>21499</v>
      </c>
      <c r="E131" s="64">
        <v>205400</v>
      </c>
      <c r="F131" s="64">
        <v>468500</v>
      </c>
      <c r="G131" s="64">
        <v>6000</v>
      </c>
      <c r="H131" s="64"/>
      <c r="I131" s="64">
        <v>13000</v>
      </c>
      <c r="J131" s="64">
        <v>0</v>
      </c>
      <c r="K131" s="64">
        <v>1462272</v>
      </c>
      <c r="L131" s="64">
        <v>456960</v>
      </c>
      <c r="M131" s="64">
        <v>0</v>
      </c>
      <c r="N131" s="64">
        <f t="shared" si="160"/>
        <v>2633631</v>
      </c>
      <c r="O131" s="85">
        <f t="shared" si="158"/>
        <v>0.67488714244098724</v>
      </c>
      <c r="P131" s="64">
        <v>48028138.991341494</v>
      </c>
      <c r="Q131" s="93">
        <f t="shared" si="84"/>
        <v>14.197060316897565</v>
      </c>
    </row>
    <row r="132" spans="1:18" ht="15.75" hidden="1" x14ac:dyDescent="0.2">
      <c r="A132" s="48" t="s">
        <v>41</v>
      </c>
      <c r="B132" s="48">
        <f>SUM(B133:B135)</f>
        <v>16808102866.099998</v>
      </c>
      <c r="C132" s="48">
        <f>SUM(C133:C135)</f>
        <v>1400675238.8416667</v>
      </c>
      <c r="D132" s="48">
        <f>SUM(D133:D135)</f>
        <v>9457094</v>
      </c>
      <c r="E132" s="48">
        <f t="shared" ref="E132" si="161">SUM(E133:E135)</f>
        <v>12299581</v>
      </c>
      <c r="F132" s="48">
        <f t="shared" ref="F132:G132" si="162">SUM(F133:F135)</f>
        <v>993309941</v>
      </c>
      <c r="G132" s="48">
        <f t="shared" si="162"/>
        <v>325319377</v>
      </c>
      <c r="H132" s="48">
        <f t="shared" ref="H132:I132" si="163">SUM(H133:H135)</f>
        <v>320272059</v>
      </c>
      <c r="I132" s="48">
        <f t="shared" si="163"/>
        <v>310810586</v>
      </c>
      <c r="J132" s="48">
        <f t="shared" ref="J132:K132" si="164">SUM(J133:J135)</f>
        <v>320052667</v>
      </c>
      <c r="K132" s="48">
        <f t="shared" si="164"/>
        <v>328095896</v>
      </c>
      <c r="L132" s="48">
        <f t="shared" ref="L132:M132" si="165">SUM(L133:L135)</f>
        <v>329213824</v>
      </c>
      <c r="M132" s="48">
        <f t="shared" si="165"/>
        <v>435598267</v>
      </c>
      <c r="N132" s="48">
        <f>SUM(N133:N135)</f>
        <v>3384429292</v>
      </c>
      <c r="O132" s="85">
        <f t="shared" si="158"/>
        <v>0</v>
      </c>
      <c r="P132" s="48">
        <f>SUM(P133:P137)</f>
        <v>12215900881.254553</v>
      </c>
      <c r="Q132" s="93">
        <f t="shared" si="84"/>
        <v>2.0078682468292093</v>
      </c>
    </row>
    <row r="133" spans="1:18" customFormat="1" ht="15.75" hidden="1" x14ac:dyDescent="0.25">
      <c r="A133" s="36" t="s">
        <v>141</v>
      </c>
      <c r="B133" s="38">
        <v>317431316.80000001</v>
      </c>
      <c r="C133" s="35">
        <f t="shared" ref="C133:C135" si="166">+B133/12</f>
        <v>26452609.733333334</v>
      </c>
      <c r="D133" s="64">
        <v>9426309</v>
      </c>
      <c r="E133" s="64">
        <v>7809659</v>
      </c>
      <c r="F133" s="64">
        <v>9279558</v>
      </c>
      <c r="G133" s="64">
        <v>9246308</v>
      </c>
      <c r="H133" s="64">
        <v>9262789</v>
      </c>
      <c r="I133" s="64">
        <v>9262803</v>
      </c>
      <c r="J133" s="64">
        <v>9094195</v>
      </c>
      <c r="K133" s="64">
        <v>9130443</v>
      </c>
      <c r="L133" s="64">
        <v>9139142</v>
      </c>
      <c r="M133" s="64">
        <v>9139113</v>
      </c>
      <c r="N133" s="64">
        <f t="shared" ref="N133:N135" si="167">+E133+D133+F133+G133+H133+I133+J133+K133+L133+M133</f>
        <v>90790319</v>
      </c>
      <c r="O133" s="85">
        <f t="shared" si="158"/>
        <v>0.2899326525</v>
      </c>
      <c r="P133" s="64">
        <v>282326581.54583251</v>
      </c>
      <c r="Q133" s="93">
        <f t="shared" ref="Q133:Q196" si="168">(+P133/((N133/10)*12))-1</f>
        <v>1.5913792778742604</v>
      </c>
      <c r="R133" s="101"/>
    </row>
    <row r="134" spans="1:18" ht="15.75" hidden="1" x14ac:dyDescent="0.25">
      <c r="A134" s="36" t="s">
        <v>157</v>
      </c>
      <c r="B134" s="38">
        <v>16490671549.299999</v>
      </c>
      <c r="C134" s="35">
        <f t="shared" si="166"/>
        <v>1374222629.1083333</v>
      </c>
      <c r="D134" s="64">
        <v>0</v>
      </c>
      <c r="E134" s="64">
        <v>0</v>
      </c>
      <c r="F134" s="64">
        <v>982797992</v>
      </c>
      <c r="G134" s="64">
        <v>313786228</v>
      </c>
      <c r="H134" s="64">
        <v>311009064</v>
      </c>
      <c r="I134" s="64">
        <v>298690325</v>
      </c>
      <c r="J134" s="64">
        <v>301639756</v>
      </c>
      <c r="K134" s="64">
        <v>318922694</v>
      </c>
      <c r="L134" s="78">
        <v>320031792</v>
      </c>
      <c r="M134" s="78">
        <v>255198782</v>
      </c>
      <c r="N134" s="64">
        <f t="shared" si="167"/>
        <v>3102076633</v>
      </c>
      <c r="O134" s="85">
        <f t="shared" si="158"/>
        <v>0.15033473073720272</v>
      </c>
      <c r="P134" s="64">
        <f>14666967874.6359*0.8</f>
        <v>11733574299.708721</v>
      </c>
      <c r="Q134" s="93">
        <f t="shared" si="168"/>
        <v>2.152075122539566</v>
      </c>
    </row>
    <row r="135" spans="1:18" ht="15.75" hidden="1" x14ac:dyDescent="0.25">
      <c r="A135" s="36" t="s">
        <v>156</v>
      </c>
      <c r="B135" s="42">
        <v>0</v>
      </c>
      <c r="C135" s="35">
        <f t="shared" si="166"/>
        <v>0</v>
      </c>
      <c r="D135" s="64">
        <v>30785</v>
      </c>
      <c r="E135" s="64">
        <v>4489922</v>
      </c>
      <c r="F135" s="64">
        <v>1232391</v>
      </c>
      <c r="G135" s="64">
        <v>2286841</v>
      </c>
      <c r="H135" s="64">
        <v>206</v>
      </c>
      <c r="I135" s="64">
        <v>2857458</v>
      </c>
      <c r="J135" s="64">
        <v>9318716</v>
      </c>
      <c r="K135" s="64">
        <v>42759</v>
      </c>
      <c r="L135" s="79">
        <v>42890</v>
      </c>
      <c r="M135" s="79">
        <f>171259572+800</f>
        <v>171260372</v>
      </c>
      <c r="N135" s="64">
        <f t="shared" si="167"/>
        <v>191562340</v>
      </c>
      <c r="O135" s="85">
        <f t="shared" si="158"/>
        <v>0.50288746154990593</v>
      </c>
      <c r="P135" s="64">
        <v>200000000</v>
      </c>
      <c r="Q135" s="93">
        <f t="shared" si="168"/>
        <v>-0.129961209146502</v>
      </c>
    </row>
    <row r="136" spans="1:18" ht="15.75" hidden="1" x14ac:dyDescent="0.2">
      <c r="A136" s="48" t="s">
        <v>42</v>
      </c>
      <c r="B136" s="48">
        <f>B137</f>
        <v>10934806026</v>
      </c>
      <c r="C136" s="48">
        <f>C137</f>
        <v>911233835.5</v>
      </c>
      <c r="D136" s="48">
        <f t="shared" ref="D136:E136" si="169">D137</f>
        <v>0</v>
      </c>
      <c r="E136" s="48">
        <f t="shared" si="169"/>
        <v>0</v>
      </c>
      <c r="F136" s="48"/>
      <c r="G136" s="48"/>
      <c r="H136" s="48"/>
      <c r="I136" s="48"/>
      <c r="J136" s="48"/>
      <c r="K136" s="48"/>
      <c r="L136" s="48"/>
      <c r="M136" s="48"/>
      <c r="N136" s="64">
        <f t="shared" ref="N136" si="170">+E136+D136+F136+G136+H136+I136+J136+K136</f>
        <v>0</v>
      </c>
      <c r="O136" s="85">
        <f t="shared" si="158"/>
        <v>0.61075260480000004</v>
      </c>
      <c r="P136" s="64">
        <f>+P137</f>
        <v>0</v>
      </c>
      <c r="Q136" s="93"/>
    </row>
    <row r="137" spans="1:18" ht="15.75" hidden="1" x14ac:dyDescent="0.25">
      <c r="A137" s="36" t="s">
        <v>158</v>
      </c>
      <c r="B137" s="46">
        <v>10934806026</v>
      </c>
      <c r="C137" s="35">
        <f t="shared" ref="C137" si="171">+B137/12</f>
        <v>911233835.5</v>
      </c>
      <c r="D137" s="64">
        <v>0</v>
      </c>
      <c r="E137" s="64">
        <v>0</v>
      </c>
      <c r="F137" s="64"/>
      <c r="G137" s="64"/>
      <c r="H137" s="64"/>
      <c r="I137" s="64">
        <v>0</v>
      </c>
      <c r="J137" s="64">
        <v>0</v>
      </c>
      <c r="K137" s="64">
        <v>0</v>
      </c>
      <c r="L137" s="64">
        <v>0</v>
      </c>
      <c r="M137" s="64"/>
      <c r="N137" s="64">
        <f>+E137+D137+F137+G137+H137+I137+J137+K137+L137+M137</f>
        <v>0</v>
      </c>
      <c r="O137" s="85">
        <f t="shared" si="158"/>
        <v>5.0180637922233439E-3</v>
      </c>
      <c r="P137" s="64">
        <v>0</v>
      </c>
      <c r="Q137" s="93"/>
    </row>
    <row r="138" spans="1:18" ht="15" x14ac:dyDescent="0.25">
      <c r="A138" s="30" t="s">
        <v>142</v>
      </c>
      <c r="B138" s="45">
        <f t="shared" ref="B138:P138" si="172">B139+B219+B225+B227</f>
        <v>1424947318198.0859</v>
      </c>
      <c r="C138" s="45">
        <f t="shared" si="172"/>
        <v>111218359799.00714</v>
      </c>
      <c r="D138" s="45">
        <f t="shared" si="172"/>
        <v>137120120612</v>
      </c>
      <c r="E138" s="45">
        <f t="shared" si="172"/>
        <v>145765920425</v>
      </c>
      <c r="F138" s="45">
        <f t="shared" si="172"/>
        <v>108624045400</v>
      </c>
      <c r="G138" s="45">
        <f t="shared" si="172"/>
        <v>104722162079</v>
      </c>
      <c r="H138" s="45">
        <f t="shared" si="172"/>
        <v>186160861706</v>
      </c>
      <c r="I138" s="45">
        <f t="shared" si="172"/>
        <v>121683859729</v>
      </c>
      <c r="J138" s="45">
        <f t="shared" si="172"/>
        <v>105666630084.99757</v>
      </c>
      <c r="K138" s="45">
        <f t="shared" si="172"/>
        <v>79032751724.002426</v>
      </c>
      <c r="L138" s="45">
        <f t="shared" si="172"/>
        <v>114544661582</v>
      </c>
      <c r="M138" s="45">
        <f t="shared" si="172"/>
        <v>143348625696</v>
      </c>
      <c r="N138" s="45">
        <f t="shared" si="172"/>
        <v>1315789679390</v>
      </c>
      <c r="O138" s="113" t="e">
        <f>O139+O219+O225+O227</f>
        <v>#DIV/0!</v>
      </c>
      <c r="P138" s="45">
        <f t="shared" si="172"/>
        <v>1507108484309.844</v>
      </c>
      <c r="Q138" s="93">
        <f t="shared" si="168"/>
        <v>-4.5498109160488243E-2</v>
      </c>
      <c r="R138" s="100">
        <f>+P138/P18</f>
        <v>0.94565138488392886</v>
      </c>
    </row>
    <row r="139" spans="1:18" x14ac:dyDescent="0.2">
      <c r="A139" s="59" t="s">
        <v>143</v>
      </c>
      <c r="B139" s="60">
        <f>+B147+B154+B177+B180+B199+B204+B208+B217</f>
        <v>1420563822054.2029</v>
      </c>
      <c r="C139" s="60">
        <f t="shared" ref="C139:L139" si="173">+C147+C154+C177+C180+C199+C204+C208+C217</f>
        <v>110853068453.68356</v>
      </c>
      <c r="D139" s="60">
        <f t="shared" si="173"/>
        <v>102068995602</v>
      </c>
      <c r="E139" s="60">
        <f t="shared" si="173"/>
        <v>120888356343</v>
      </c>
      <c r="F139" s="60">
        <f t="shared" si="173"/>
        <v>97708156618</v>
      </c>
      <c r="G139" s="60">
        <f t="shared" si="173"/>
        <v>115815505555</v>
      </c>
      <c r="H139" s="60">
        <f t="shared" si="173"/>
        <v>154319234694</v>
      </c>
      <c r="I139" s="60">
        <f t="shared" si="173"/>
        <v>121804303292</v>
      </c>
      <c r="J139" s="60">
        <f t="shared" si="173"/>
        <v>109124699290</v>
      </c>
      <c r="K139" s="60">
        <f t="shared" si="173"/>
        <v>123768318914</v>
      </c>
      <c r="L139" s="60">
        <f t="shared" si="173"/>
        <v>96025357708</v>
      </c>
      <c r="M139" s="60">
        <f>+M147+M154+M177+M180+M199+M204+M208+M217</f>
        <v>165042275496</v>
      </c>
      <c r="N139" s="60">
        <f>+N147+N154+N177+N180+N199+N204+N207+N212+N215+55327179443</f>
        <v>1275685243864</v>
      </c>
      <c r="O139" s="60" t="e">
        <f>+O147+O154+O177+O180+O199+O204+#REF!+O217</f>
        <v>#DIV/0!</v>
      </c>
      <c r="P139" s="60">
        <f>+P146</f>
        <v>1429918850131.2</v>
      </c>
      <c r="Q139" s="93">
        <f t="shared" si="168"/>
        <v>-6.591453690669502E-2</v>
      </c>
      <c r="R139" s="104">
        <f>+P139/P138</f>
        <v>0.94878296089349412</v>
      </c>
    </row>
    <row r="140" spans="1:18" hidden="1" x14ac:dyDescent="0.2">
      <c r="A140" s="32" t="s">
        <v>33</v>
      </c>
      <c r="B140" s="43">
        <f>SUM(B141:B177)-B146</f>
        <v>545176572869.4812</v>
      </c>
      <c r="C140" s="43">
        <f t="shared" ref="C140:L140" si="174">SUM(C141:C177)</f>
        <v>145158964517.23999</v>
      </c>
      <c r="D140" s="43">
        <f t="shared" si="174"/>
        <v>137991928500</v>
      </c>
      <c r="E140" s="43">
        <f t="shared" si="174"/>
        <v>166590860390</v>
      </c>
      <c r="F140" s="43">
        <f t="shared" si="174"/>
        <v>143923745425</v>
      </c>
      <c r="G140" s="43">
        <f t="shared" si="174"/>
        <v>160933192411</v>
      </c>
      <c r="H140" s="43">
        <f t="shared" si="174"/>
        <v>210134885496</v>
      </c>
      <c r="I140" s="43">
        <f t="shared" si="174"/>
        <v>174691570920</v>
      </c>
      <c r="J140" s="43">
        <f t="shared" si="174"/>
        <v>158936444401</v>
      </c>
      <c r="K140" s="43">
        <f t="shared" si="174"/>
        <v>172030880357</v>
      </c>
      <c r="L140" s="43">
        <f t="shared" si="174"/>
        <v>143060063529</v>
      </c>
      <c r="M140" s="43">
        <f>SUM(M141:M177)-M146</f>
        <v>71698104897</v>
      </c>
      <c r="N140" s="43">
        <v>0</v>
      </c>
      <c r="O140" s="43" t="e">
        <f>SUM(O141:O177)</f>
        <v>#DIV/0!</v>
      </c>
      <c r="P140" s="43">
        <f>SUM(P141:P145)</f>
        <v>0</v>
      </c>
      <c r="Q140" s="93"/>
    </row>
    <row r="141" spans="1:18" ht="15.75" hidden="1" x14ac:dyDescent="0.2">
      <c r="A141" s="34" t="s">
        <v>58</v>
      </c>
      <c r="B141" s="35">
        <v>15896519839.039648</v>
      </c>
      <c r="C141" s="35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>
        <v>0</v>
      </c>
      <c r="O141" s="85">
        <f>+N134/((B134/12)*10)</f>
        <v>0.22573319397402061</v>
      </c>
      <c r="P141" s="64">
        <v>0</v>
      </c>
      <c r="Q141" s="93"/>
    </row>
    <row r="142" spans="1:18" ht="15.75" hidden="1" x14ac:dyDescent="0.25">
      <c r="A142" s="36" t="s">
        <v>59</v>
      </c>
      <c r="B142" s="35">
        <v>374969754.12</v>
      </c>
      <c r="C142" s="35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>
        <v>0</v>
      </c>
      <c r="O142" s="85"/>
      <c r="P142" s="64">
        <v>0</v>
      </c>
      <c r="Q142" s="93"/>
    </row>
    <row r="143" spans="1:18" ht="15.75" hidden="1" x14ac:dyDescent="0.2">
      <c r="A143" s="34" t="s">
        <v>60</v>
      </c>
      <c r="B143" s="35">
        <v>484817328</v>
      </c>
      <c r="C143" s="35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>
        <v>0</v>
      </c>
      <c r="O143" s="85">
        <f>+N136/((B136/12)*10)</f>
        <v>0</v>
      </c>
      <c r="P143" s="64">
        <v>0</v>
      </c>
      <c r="Q143" s="93"/>
    </row>
    <row r="144" spans="1:18" ht="15.75" hidden="1" x14ac:dyDescent="0.2">
      <c r="A144" s="34" t="s">
        <v>61</v>
      </c>
      <c r="B144" s="35">
        <v>1814902100.5750124</v>
      </c>
      <c r="C144" s="35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>
        <v>0</v>
      </c>
      <c r="O144" s="85">
        <f>+N137/((B137/12)*10)</f>
        <v>0</v>
      </c>
      <c r="P144" s="64">
        <v>0</v>
      </c>
      <c r="Q144" s="93"/>
    </row>
    <row r="145" spans="1:19" ht="15.75" hidden="1" x14ac:dyDescent="0.25">
      <c r="A145" s="36" t="s">
        <v>62</v>
      </c>
      <c r="B145" s="35">
        <v>217788252.06900156</v>
      </c>
      <c r="C145" s="35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>
        <v>0</v>
      </c>
      <c r="O145" s="85">
        <f>+N138/((B138/12)*10)</f>
        <v>1.1080743793845338</v>
      </c>
      <c r="P145" s="64">
        <v>0</v>
      </c>
      <c r="Q145" s="93"/>
    </row>
    <row r="146" spans="1:19" hidden="1" x14ac:dyDescent="0.2">
      <c r="A146" s="32" t="s">
        <v>232</v>
      </c>
      <c r="B146" s="90">
        <f t="shared" ref="B146:O146" si="175">+B147+B154+B177+B180+B199+B204+B206+B208</f>
        <v>1420563822054.2029</v>
      </c>
      <c r="C146" s="90">
        <f t="shared" si="175"/>
        <v>110853068453.68356</v>
      </c>
      <c r="D146" s="90">
        <f t="shared" si="175"/>
        <v>102068995602</v>
      </c>
      <c r="E146" s="90">
        <f t="shared" si="175"/>
        <v>120888356343</v>
      </c>
      <c r="F146" s="90">
        <f t="shared" si="175"/>
        <v>97708156618</v>
      </c>
      <c r="G146" s="90">
        <f t="shared" si="175"/>
        <v>115815505555</v>
      </c>
      <c r="H146" s="90">
        <f t="shared" si="175"/>
        <v>154319142194</v>
      </c>
      <c r="I146" s="90">
        <f t="shared" si="175"/>
        <v>121804303292</v>
      </c>
      <c r="J146" s="90">
        <f t="shared" si="175"/>
        <v>109124699290</v>
      </c>
      <c r="K146" s="90">
        <f t="shared" si="175"/>
        <v>123768318914</v>
      </c>
      <c r="L146" s="90">
        <f t="shared" si="175"/>
        <v>96025357708</v>
      </c>
      <c r="M146" s="90">
        <f t="shared" si="175"/>
        <v>165042275496</v>
      </c>
      <c r="N146" s="90">
        <f t="shared" si="175"/>
        <v>1332630750409</v>
      </c>
      <c r="O146" s="90" t="e">
        <f t="shared" si="175"/>
        <v>#DIV/0!</v>
      </c>
      <c r="P146" s="90">
        <f>+P147+P154+P177+P180+P199+P204+P206+P208</f>
        <v>1429918850131.2</v>
      </c>
      <c r="Q146" s="93">
        <f t="shared" si="168"/>
        <v>-0.10582954699920866</v>
      </c>
    </row>
    <row r="147" spans="1:19" ht="15.75" x14ac:dyDescent="0.25">
      <c r="A147" s="82" t="s">
        <v>155</v>
      </c>
      <c r="B147" s="35">
        <f>Hoja1!I22+Hoja1!I23</f>
        <v>323421198477.11322</v>
      </c>
      <c r="C147" s="35">
        <f t="shared" ref="C147:C217" si="176">+B147/12</f>
        <v>26951766539.759434</v>
      </c>
      <c r="D147" s="64">
        <v>28097520673</v>
      </c>
      <c r="E147" s="64">
        <v>41859364424</v>
      </c>
      <c r="F147" s="64">
        <v>39787322380</v>
      </c>
      <c r="G147" s="64">
        <v>38757703058</v>
      </c>
      <c r="H147" s="64">
        <v>38342375601</v>
      </c>
      <c r="I147" s="64">
        <v>43531398096</v>
      </c>
      <c r="J147" s="64">
        <v>40808402670</v>
      </c>
      <c r="K147" s="64">
        <v>41173518701</v>
      </c>
      <c r="L147" s="64">
        <v>41767065293</v>
      </c>
      <c r="M147" s="64">
        <v>61211291881</v>
      </c>
      <c r="N147" s="64">
        <f>+E147+D147+F147+G147+H147+I147+J147+K147+L147+M147</f>
        <v>415335962777</v>
      </c>
      <c r="O147" s="85">
        <f t="shared" ref="O147:O153" si="177">+N139/((B139/12)*10)</f>
        <v>1.0776159922355042</v>
      </c>
      <c r="P147" s="117">
        <f>SUM(P148:P153)</f>
        <v>612000000000</v>
      </c>
      <c r="Q147" s="93">
        <f t="shared" si="168"/>
        <v>0.22792160011876117</v>
      </c>
      <c r="R147" s="109">
        <f>+P147/$P$146</f>
        <v>0.42799631597544635</v>
      </c>
      <c r="S147" s="110"/>
    </row>
    <row r="148" spans="1:19" ht="15.75" hidden="1" x14ac:dyDescent="0.25">
      <c r="A148" s="73" t="s">
        <v>173</v>
      </c>
      <c r="B148" s="35"/>
      <c r="C148" s="35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>
        <v>12523056958</v>
      </c>
      <c r="O148" s="85">
        <f t="shared" si="177"/>
        <v>0</v>
      </c>
      <c r="P148" s="90">
        <v>15600000000</v>
      </c>
      <c r="Q148" s="93">
        <f t="shared" si="168"/>
        <v>3.8085193064247846E-2</v>
      </c>
      <c r="R148" s="109">
        <f t="shared" ref="R148:R211" si="178">+P148/$P$146</f>
        <v>1.0909710015060397E-2</v>
      </c>
      <c r="S148" s="111"/>
    </row>
    <row r="149" spans="1:19" ht="15.75" hidden="1" x14ac:dyDescent="0.25">
      <c r="A149" s="73" t="s">
        <v>174</v>
      </c>
      <c r="B149" s="35"/>
      <c r="C149" s="35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>
        <v>1946815389</v>
      </c>
      <c r="O149" s="85">
        <f t="shared" si="177"/>
        <v>0</v>
      </c>
      <c r="Q149" s="93">
        <f t="shared" si="168"/>
        <v>-1</v>
      </c>
      <c r="R149" s="109">
        <f t="shared" si="178"/>
        <v>0</v>
      </c>
      <c r="S149" s="107"/>
    </row>
    <row r="150" spans="1:19" ht="15.75" hidden="1" x14ac:dyDescent="0.25">
      <c r="A150" s="73" t="s">
        <v>175</v>
      </c>
      <c r="B150" s="35">
        <f>SUM(N148:N153)-N151-N148</f>
        <v>114716822833</v>
      </c>
      <c r="C150" s="35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>
        <v>2528415099</v>
      </c>
      <c r="O150" s="85">
        <f t="shared" si="177"/>
        <v>0</v>
      </c>
      <c r="P150" s="87">
        <v>276000000000</v>
      </c>
      <c r="Q150" s="93">
        <f t="shared" si="168"/>
        <v>89.966075978175439</v>
      </c>
      <c r="R150" s="109">
        <f t="shared" si="178"/>
        <v>0.19301794642029935</v>
      </c>
      <c r="S150" s="107"/>
    </row>
    <row r="151" spans="1:19" ht="15.75" hidden="1" x14ac:dyDescent="0.25">
      <c r="A151" s="73" t="s">
        <v>176</v>
      </c>
      <c r="B151" s="35"/>
      <c r="C151" s="35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>
        <v>288096082986</v>
      </c>
      <c r="O151" s="85">
        <f t="shared" si="177"/>
        <v>0</v>
      </c>
      <c r="P151" s="90">
        <v>320400000000</v>
      </c>
      <c r="Q151" s="93">
        <f t="shared" si="168"/>
        <v>-7.3225858426631651E-2</v>
      </c>
      <c r="R151" s="109">
        <f t="shared" si="178"/>
        <v>0.22406865954008662</v>
      </c>
      <c r="S151" s="107"/>
    </row>
    <row r="152" spans="1:19" ht="15.75" hidden="1" x14ac:dyDescent="0.25">
      <c r="A152" s="73" t="s">
        <v>177</v>
      </c>
      <c r="B152" s="35"/>
      <c r="C152" s="35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>
        <v>40722139621</v>
      </c>
      <c r="O152" s="85">
        <f t="shared" si="177"/>
        <v>0</v>
      </c>
      <c r="P152" s="27"/>
      <c r="Q152" s="93">
        <f t="shared" si="168"/>
        <v>-1</v>
      </c>
      <c r="R152" s="109">
        <f t="shared" si="178"/>
        <v>0</v>
      </c>
      <c r="S152" s="107"/>
    </row>
    <row r="153" spans="1:19" ht="15.75" hidden="1" x14ac:dyDescent="0.25">
      <c r="A153" s="73" t="s">
        <v>178</v>
      </c>
      <c r="B153" s="35"/>
      <c r="C153" s="35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>
        <v>69519452724</v>
      </c>
      <c r="O153" s="85">
        <f t="shared" si="177"/>
        <v>0</v>
      </c>
      <c r="P153" s="27"/>
      <c r="Q153" s="93">
        <f t="shared" si="168"/>
        <v>-1</v>
      </c>
      <c r="R153" s="109">
        <f t="shared" si="178"/>
        <v>0</v>
      </c>
      <c r="S153" s="107"/>
    </row>
    <row r="154" spans="1:19" ht="15.75" x14ac:dyDescent="0.25">
      <c r="A154" s="82" t="s">
        <v>22</v>
      </c>
      <c r="B154" s="35">
        <f>Hoja1!I24</f>
        <v>44159751569.160599</v>
      </c>
      <c r="C154" s="35">
        <f t="shared" si="176"/>
        <v>3679979297.4300499</v>
      </c>
      <c r="D154" s="64">
        <v>2850362323</v>
      </c>
      <c r="E154" s="64">
        <v>1581133688</v>
      </c>
      <c r="F154" s="64">
        <v>5247819741</v>
      </c>
      <c r="G154" s="64">
        <v>4576031544</v>
      </c>
      <c r="H154" s="64">
        <v>10360107762</v>
      </c>
      <c r="I154" s="64">
        <v>5247830395</v>
      </c>
      <c r="J154" s="64">
        <v>5196420203</v>
      </c>
      <c r="K154" s="64">
        <v>3263554975</v>
      </c>
      <c r="L154" s="64">
        <v>2740055562</v>
      </c>
      <c r="M154" s="81">
        <v>5149876053</v>
      </c>
      <c r="N154" s="64">
        <f>+E154+D154+F154+G154+H154+I154+J154+K154+L154+M154</f>
        <v>46213192246</v>
      </c>
      <c r="O154" s="85">
        <f>+N147/((B147/12)*10)</f>
        <v>1.5410342849486081</v>
      </c>
      <c r="P154" s="118">
        <f>SUM(P155:P176)</f>
        <v>30062786400</v>
      </c>
      <c r="Q154" s="93">
        <f t="shared" si="168"/>
        <v>-0.45789674371243183</v>
      </c>
      <c r="R154" s="109">
        <f t="shared" si="178"/>
        <v>2.1024120632609073E-2</v>
      </c>
      <c r="S154" s="107"/>
    </row>
    <row r="155" spans="1:19" ht="15.75" hidden="1" x14ac:dyDescent="0.25">
      <c r="A155" s="73" t="s">
        <v>179</v>
      </c>
      <c r="B155" s="65"/>
      <c r="C155" s="35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>
        <v>94362357</v>
      </c>
      <c r="O155" s="85" t="e">
        <f t="shared" ref="O155:O158" si="179">+N148/((B148/12)*9)</f>
        <v>#DIV/0!</v>
      </c>
      <c r="P155" s="27"/>
      <c r="Q155" s="93">
        <f t="shared" si="168"/>
        <v>-1</v>
      </c>
      <c r="R155" s="109">
        <f t="shared" si="178"/>
        <v>0</v>
      </c>
      <c r="S155" s="107"/>
    </row>
    <row r="156" spans="1:19" ht="15.75" hidden="1" x14ac:dyDescent="0.25">
      <c r="A156" s="73" t="s">
        <v>180</v>
      </c>
      <c r="B156" s="65"/>
      <c r="C156" s="35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>
        <v>779700108</v>
      </c>
      <c r="O156" s="85" t="e">
        <f t="shared" si="179"/>
        <v>#DIV/0!</v>
      </c>
      <c r="Q156" s="93">
        <f t="shared" si="168"/>
        <v>-1</v>
      </c>
      <c r="R156" s="109">
        <f t="shared" si="178"/>
        <v>0</v>
      </c>
      <c r="S156" s="107"/>
    </row>
    <row r="157" spans="1:19" ht="15.75" hidden="1" x14ac:dyDescent="0.25">
      <c r="A157" s="73" t="s">
        <v>181</v>
      </c>
      <c r="B157" s="65"/>
      <c r="C157" s="35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>
        <v>17800971</v>
      </c>
      <c r="O157" s="85">
        <f t="shared" si="179"/>
        <v>2.9387321307770897E-2</v>
      </c>
      <c r="Q157" s="93">
        <f t="shared" si="168"/>
        <v>-1</v>
      </c>
      <c r="R157" s="109">
        <f t="shared" si="178"/>
        <v>0</v>
      </c>
      <c r="S157" s="107"/>
    </row>
    <row r="158" spans="1:19" ht="15.75" hidden="1" x14ac:dyDescent="0.25">
      <c r="A158" s="73" t="s">
        <v>182</v>
      </c>
      <c r="B158" s="65"/>
      <c r="C158" s="35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>
        <v>15125452</v>
      </c>
      <c r="O158" s="85" t="e">
        <f t="shared" si="179"/>
        <v>#DIV/0!</v>
      </c>
      <c r="Q158" s="93">
        <f t="shared" si="168"/>
        <v>-1</v>
      </c>
      <c r="R158" s="109">
        <f t="shared" si="178"/>
        <v>0</v>
      </c>
      <c r="S158" s="107"/>
    </row>
    <row r="159" spans="1:19" ht="15.75" hidden="1" x14ac:dyDescent="0.25">
      <c r="A159" s="73" t="s">
        <v>183</v>
      </c>
      <c r="B159" s="65"/>
      <c r="C159" s="35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>
        <v>22560397</v>
      </c>
      <c r="O159" s="85" t="e">
        <f t="shared" ref="O159:O190" si="180">+N152/((B152/12)*9)</f>
        <v>#DIV/0!</v>
      </c>
      <c r="Q159" s="93">
        <f t="shared" si="168"/>
        <v>-1</v>
      </c>
      <c r="R159" s="109">
        <f t="shared" si="178"/>
        <v>0</v>
      </c>
      <c r="S159" s="107"/>
    </row>
    <row r="160" spans="1:19" ht="15.75" hidden="1" x14ac:dyDescent="0.25">
      <c r="A160" s="73" t="s">
        <v>184</v>
      </c>
      <c r="B160" s="65"/>
      <c r="C160" s="35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>
        <v>5086166</v>
      </c>
      <c r="O160" s="85" t="e">
        <f t="shared" si="180"/>
        <v>#DIV/0!</v>
      </c>
      <c r="Q160" s="93">
        <f t="shared" si="168"/>
        <v>-1</v>
      </c>
      <c r="R160" s="109">
        <f t="shared" si="178"/>
        <v>0</v>
      </c>
      <c r="S160" s="107"/>
    </row>
    <row r="161" spans="1:19" ht="15.75" hidden="1" x14ac:dyDescent="0.25">
      <c r="A161" s="73" t="s">
        <v>185</v>
      </c>
      <c r="B161" s="65"/>
      <c r="C161" s="35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>
        <v>26370522</v>
      </c>
      <c r="O161" s="85">
        <f t="shared" si="180"/>
        <v>1.3953337025646808</v>
      </c>
      <c r="Q161" s="93">
        <f t="shared" si="168"/>
        <v>-1</v>
      </c>
      <c r="R161" s="109">
        <f t="shared" si="178"/>
        <v>0</v>
      </c>
      <c r="S161" s="107"/>
    </row>
    <row r="162" spans="1:19" ht="15.75" hidden="1" x14ac:dyDescent="0.25">
      <c r="A162" s="73" t="s">
        <v>186</v>
      </c>
      <c r="B162" s="65"/>
      <c r="C162" s="35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>
        <v>36155</v>
      </c>
      <c r="O162" s="85" t="e">
        <f t="shared" si="180"/>
        <v>#DIV/0!</v>
      </c>
      <c r="Q162" s="93">
        <f t="shared" si="168"/>
        <v>-1</v>
      </c>
      <c r="R162" s="109">
        <f t="shared" si="178"/>
        <v>0</v>
      </c>
      <c r="S162" s="107"/>
    </row>
    <row r="163" spans="1:19" ht="15.75" hidden="1" x14ac:dyDescent="0.25">
      <c r="A163" s="73" t="s">
        <v>187</v>
      </c>
      <c r="B163" s="65"/>
      <c r="C163" s="35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>
        <v>29398461</v>
      </c>
      <c r="O163" s="85" t="e">
        <f t="shared" si="180"/>
        <v>#DIV/0!</v>
      </c>
      <c r="Q163" s="93">
        <f t="shared" si="168"/>
        <v>-1</v>
      </c>
      <c r="R163" s="109">
        <f t="shared" si="178"/>
        <v>0</v>
      </c>
      <c r="S163" s="107"/>
    </row>
    <row r="164" spans="1:19" ht="15.75" hidden="1" x14ac:dyDescent="0.25">
      <c r="A164" s="73" t="s">
        <v>188</v>
      </c>
      <c r="B164" s="65"/>
      <c r="C164" s="35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>
        <v>98303155</v>
      </c>
      <c r="O164" s="85" t="e">
        <f t="shared" si="180"/>
        <v>#DIV/0!</v>
      </c>
      <c r="Q164" s="93">
        <f t="shared" si="168"/>
        <v>-1</v>
      </c>
      <c r="R164" s="109">
        <f t="shared" si="178"/>
        <v>0</v>
      </c>
      <c r="S164" s="107"/>
    </row>
    <row r="165" spans="1:19" ht="15.75" hidden="1" x14ac:dyDescent="0.25">
      <c r="A165" s="73" t="s">
        <v>189</v>
      </c>
      <c r="B165" s="65"/>
      <c r="C165" s="35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>
        <v>22393540</v>
      </c>
      <c r="O165" s="85" t="e">
        <f t="shared" si="180"/>
        <v>#DIV/0!</v>
      </c>
      <c r="Q165" s="93">
        <f t="shared" si="168"/>
        <v>-1</v>
      </c>
      <c r="R165" s="109">
        <f t="shared" si="178"/>
        <v>0</v>
      </c>
      <c r="S165" s="107"/>
    </row>
    <row r="166" spans="1:19" ht="15.75" hidden="1" x14ac:dyDescent="0.25">
      <c r="A166" s="73" t="s">
        <v>190</v>
      </c>
      <c r="B166" s="65"/>
      <c r="C166" s="35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6707344721</v>
      </c>
      <c r="O166" s="85" t="e">
        <f t="shared" si="180"/>
        <v>#DIV/0!</v>
      </c>
      <c r="P166" s="90">
        <v>3335988036</v>
      </c>
      <c r="Q166" s="93">
        <f t="shared" si="168"/>
        <v>-0.5855304676236277</v>
      </c>
      <c r="R166" s="109">
        <f t="shared" si="178"/>
        <v>2.3329911593891581E-3</v>
      </c>
      <c r="S166" s="107"/>
    </row>
    <row r="167" spans="1:19" ht="15.75" hidden="1" x14ac:dyDescent="0.25">
      <c r="A167" s="73" t="s">
        <v>191</v>
      </c>
      <c r="B167" s="65"/>
      <c r="C167" s="35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21963453622</v>
      </c>
      <c r="O167" s="85" t="e">
        <f t="shared" si="180"/>
        <v>#DIV/0!</v>
      </c>
      <c r="P167" s="90">
        <v>9701584536</v>
      </c>
      <c r="Q167" s="93">
        <f t="shared" si="168"/>
        <v>-0.63190425699253905</v>
      </c>
      <c r="R167" s="109">
        <f t="shared" si="178"/>
        <v>6.7847098701509156E-3</v>
      </c>
      <c r="S167" s="107"/>
    </row>
    <row r="168" spans="1:19" ht="15.75" hidden="1" x14ac:dyDescent="0.25">
      <c r="A168" s="73" t="s">
        <v>192</v>
      </c>
      <c r="B168" s="65"/>
      <c r="C168" s="35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1124008646</v>
      </c>
      <c r="O168" s="85" t="e">
        <f t="shared" si="180"/>
        <v>#DIV/0!</v>
      </c>
      <c r="P168" s="90">
        <v>1584637716</v>
      </c>
      <c r="Q168" s="93">
        <f t="shared" si="168"/>
        <v>0.17484098961281491</v>
      </c>
      <c r="R168" s="109">
        <f t="shared" si="178"/>
        <v>1.1082011513133098E-3</v>
      </c>
      <c r="S168" s="107"/>
    </row>
    <row r="169" spans="1:19" ht="15.75" hidden="1" x14ac:dyDescent="0.25">
      <c r="A169" s="73" t="s">
        <v>193</v>
      </c>
      <c r="B169" s="65"/>
      <c r="C169" s="35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489603746</v>
      </c>
      <c r="O169" s="85" t="e">
        <f t="shared" si="180"/>
        <v>#DIV/0!</v>
      </c>
      <c r="P169" s="90">
        <v>364518168</v>
      </c>
      <c r="Q169" s="93">
        <f t="shared" si="168"/>
        <v>-0.37956941203632055</v>
      </c>
      <c r="R169" s="109">
        <f t="shared" si="178"/>
        <v>2.549222761603249E-4</v>
      </c>
      <c r="S169" s="107"/>
    </row>
    <row r="170" spans="1:19" ht="15.75" hidden="1" x14ac:dyDescent="0.25">
      <c r="A170" s="73" t="s">
        <v>194</v>
      </c>
      <c r="B170" s="65"/>
      <c r="C170" s="35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1008023121</v>
      </c>
      <c r="O170" s="85" t="e">
        <f t="shared" si="180"/>
        <v>#DIV/0!</v>
      </c>
      <c r="P170" s="87">
        <v>1305536436</v>
      </c>
      <c r="Q170" s="93">
        <f t="shared" si="168"/>
        <v>7.9287773598597955E-2</v>
      </c>
      <c r="R170" s="109">
        <f t="shared" si="178"/>
        <v>9.1301435454201648E-4</v>
      </c>
      <c r="S170" s="107"/>
    </row>
    <row r="171" spans="1:19" ht="15.75" hidden="1" x14ac:dyDescent="0.25">
      <c r="A171" s="73" t="s">
        <v>195</v>
      </c>
      <c r="B171" s="65"/>
      <c r="C171" s="35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>
        <v>189140279</v>
      </c>
      <c r="O171" s="85" t="e">
        <f t="shared" si="180"/>
        <v>#DIV/0!</v>
      </c>
      <c r="P171" s="87">
        <v>1414765080</v>
      </c>
      <c r="Q171" s="93">
        <f t="shared" si="168"/>
        <v>5.2333147980605448</v>
      </c>
      <c r="R171" s="109">
        <f t="shared" si="178"/>
        <v>9.8940235655344379E-4</v>
      </c>
      <c r="S171" s="107"/>
    </row>
    <row r="172" spans="1:19" ht="15.75" hidden="1" x14ac:dyDescent="0.25">
      <c r="A172" s="73" t="s">
        <v>196</v>
      </c>
      <c r="B172" s="65"/>
      <c r="C172" s="35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>
        <v>699214305</v>
      </c>
      <c r="O172" s="85" t="e">
        <f t="shared" si="180"/>
        <v>#DIV/0!</v>
      </c>
      <c r="P172" s="87">
        <v>887951460</v>
      </c>
      <c r="Q172" s="93">
        <f t="shared" si="168"/>
        <v>5.8272899608368345E-2</v>
      </c>
      <c r="R172" s="109">
        <f t="shared" si="178"/>
        <v>6.2098031641342967E-4</v>
      </c>
      <c r="S172" s="107"/>
    </row>
    <row r="173" spans="1:19" ht="15.75" hidden="1" x14ac:dyDescent="0.25">
      <c r="A173" s="73" t="s">
        <v>197</v>
      </c>
      <c r="B173" s="65"/>
      <c r="C173" s="35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>
        <v>82286649</v>
      </c>
      <c r="O173" s="85" t="e">
        <f t="shared" si="180"/>
        <v>#DIV/0!</v>
      </c>
      <c r="P173" s="87">
        <v>407875716</v>
      </c>
      <c r="Q173" s="93">
        <f t="shared" si="168"/>
        <v>3.1306388597742014</v>
      </c>
      <c r="R173" s="109">
        <f t="shared" si="178"/>
        <v>2.8524396049648272E-4</v>
      </c>
      <c r="S173" s="107"/>
    </row>
    <row r="174" spans="1:19" ht="15.75" hidden="1" x14ac:dyDescent="0.25">
      <c r="A174" s="73" t="s">
        <v>198</v>
      </c>
      <c r="B174" s="65"/>
      <c r="C174" s="35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>
        <v>986895878</v>
      </c>
      <c r="O174" s="85" t="e">
        <f t="shared" si="180"/>
        <v>#DIV/0!</v>
      </c>
      <c r="P174" s="87">
        <v>1301594712</v>
      </c>
      <c r="Q174" s="93">
        <f t="shared" si="168"/>
        <v>9.906453576250529E-2</v>
      </c>
      <c r="R174" s="109">
        <f t="shared" si="178"/>
        <v>9.1025774776000348E-4</v>
      </c>
      <c r="S174" s="107"/>
    </row>
    <row r="175" spans="1:19" ht="15.75" hidden="1" x14ac:dyDescent="0.25">
      <c r="A175" s="73" t="s">
        <v>199</v>
      </c>
      <c r="B175" s="65"/>
      <c r="C175" s="35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>
        <v>4757699316</v>
      </c>
      <c r="O175" s="85" t="e">
        <f t="shared" si="180"/>
        <v>#DIV/0!</v>
      </c>
      <c r="P175" s="87">
        <v>3903797448</v>
      </c>
      <c r="Q175" s="93">
        <f t="shared" si="168"/>
        <v>-0.31623158086941205</v>
      </c>
      <c r="R175" s="109">
        <f t="shared" si="178"/>
        <v>2.7300832125136424E-3</v>
      </c>
      <c r="S175" s="107"/>
    </row>
    <row r="176" spans="1:19" ht="15.75" hidden="1" x14ac:dyDescent="0.25">
      <c r="A176" s="73" t="s">
        <v>200</v>
      </c>
      <c r="B176" s="65"/>
      <c r="C176" s="35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>
        <v>7094384679</v>
      </c>
      <c r="O176" s="85" t="e">
        <f t="shared" si="180"/>
        <v>#DIV/0!</v>
      </c>
      <c r="P176" s="87">
        <v>5854537092</v>
      </c>
      <c r="Q176" s="93">
        <f t="shared" si="168"/>
        <v>-0.31230386696655743</v>
      </c>
      <c r="R176" s="109">
        <f t="shared" si="178"/>
        <v>4.0943142273163445E-3</v>
      </c>
      <c r="S176" s="107"/>
    </row>
    <row r="177" spans="1:19" ht="15.75" x14ac:dyDescent="0.25">
      <c r="A177" s="82" t="s">
        <v>23</v>
      </c>
      <c r="B177" s="35">
        <v>44089802716.403488</v>
      </c>
      <c r="C177" s="83">
        <f t="shared" si="176"/>
        <v>3674150226.3669572</v>
      </c>
      <c r="D177" s="81">
        <v>4975049902</v>
      </c>
      <c r="E177" s="81">
        <v>2262005935</v>
      </c>
      <c r="F177" s="81">
        <v>1180446686</v>
      </c>
      <c r="G177" s="81">
        <v>1783952254</v>
      </c>
      <c r="H177" s="81">
        <v>7113259939</v>
      </c>
      <c r="I177" s="81">
        <v>4108039137</v>
      </c>
      <c r="J177" s="81">
        <v>3806922238</v>
      </c>
      <c r="K177" s="81">
        <v>3825487767</v>
      </c>
      <c r="L177" s="81">
        <v>2527584966</v>
      </c>
      <c r="M177" s="81">
        <v>5336936963</v>
      </c>
      <c r="N177" s="64">
        <f t="shared" ref="N177:N230" si="181">+E177+D177+F177+G177+H177+I177+J177+K177+L177+M177</f>
        <v>36919685787</v>
      </c>
      <c r="O177" s="85" t="e">
        <f>+N170/((B170/12)*10)</f>
        <v>#DIV/0!</v>
      </c>
      <c r="P177" s="62">
        <f>SUM(P178:P179)</f>
        <v>149948121600</v>
      </c>
      <c r="Q177" s="93">
        <f t="shared" si="168"/>
        <v>2.3845566487458907</v>
      </c>
      <c r="R177" s="109">
        <f t="shared" si="178"/>
        <v>0.10486477717685989</v>
      </c>
      <c r="S177" s="107"/>
    </row>
    <row r="178" spans="1:19" ht="16.5" hidden="1" customHeight="1" x14ac:dyDescent="0.25">
      <c r="A178" s="73" t="s">
        <v>201</v>
      </c>
      <c r="B178" s="83"/>
      <c r="C178" s="83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65">
        <v>302230612</v>
      </c>
      <c r="O178" s="85" t="e">
        <f t="shared" si="180"/>
        <v>#DIV/0!</v>
      </c>
      <c r="P178" s="90">
        <v>5948121600</v>
      </c>
      <c r="Q178" s="93">
        <f t="shared" si="168"/>
        <v>15.400615302330792</v>
      </c>
      <c r="R178" s="109">
        <f t="shared" si="178"/>
        <v>4.1597616532254534E-3</v>
      </c>
      <c r="S178" s="111"/>
    </row>
    <row r="179" spans="1:19" ht="15.75" hidden="1" x14ac:dyDescent="0.25">
      <c r="A179" s="73" t="s">
        <v>202</v>
      </c>
      <c r="B179" s="83"/>
      <c r="C179" s="83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64">
        <v>36617455175</v>
      </c>
      <c r="O179" s="85" t="e">
        <f t="shared" si="180"/>
        <v>#DIV/0!</v>
      </c>
      <c r="P179" s="87">
        <v>144000000000</v>
      </c>
      <c r="Q179" s="93">
        <f t="shared" si="168"/>
        <v>2.2771256065311754</v>
      </c>
      <c r="R179" s="109">
        <f t="shared" si="178"/>
        <v>0.10070501552363444</v>
      </c>
      <c r="S179" s="107"/>
    </row>
    <row r="180" spans="1:19" ht="15.75" x14ac:dyDescent="0.25">
      <c r="A180" s="82" t="s">
        <v>24</v>
      </c>
      <c r="B180" s="35">
        <v>566662858245.79199</v>
      </c>
      <c r="C180" s="83">
        <f t="shared" si="176"/>
        <v>47221904853.816002</v>
      </c>
      <c r="D180" s="81">
        <v>34741595349</v>
      </c>
      <c r="E180" s="81">
        <v>41027346327</v>
      </c>
      <c r="F180" s="81">
        <v>27797287888</v>
      </c>
      <c r="G180" s="81">
        <v>38670019211</v>
      </c>
      <c r="H180" s="81">
        <v>64465828815</v>
      </c>
      <c r="I180" s="81">
        <v>45802325912</v>
      </c>
      <c r="J180" s="81">
        <v>34145624596</v>
      </c>
      <c r="K180" s="81">
        <v>40023474955</v>
      </c>
      <c r="L180" s="81">
        <v>24431620235</v>
      </c>
      <c r="M180" s="81">
        <v>57289041334</v>
      </c>
      <c r="N180" s="64">
        <f t="shared" si="181"/>
        <v>408394164622</v>
      </c>
      <c r="O180" s="85" t="e">
        <f>+N173/((B173/12)*10)</f>
        <v>#DIV/0!</v>
      </c>
      <c r="P180" s="62">
        <f>SUM(P181:P198)</f>
        <v>421857494364</v>
      </c>
      <c r="Q180" s="93">
        <f t="shared" si="168"/>
        <v>-0.13919457616299569</v>
      </c>
      <c r="R180" s="109">
        <f t="shared" si="178"/>
        <v>0.2950219827686677</v>
      </c>
      <c r="S180" s="107"/>
    </row>
    <row r="181" spans="1:19" ht="15.75" hidden="1" x14ac:dyDescent="0.25">
      <c r="A181" s="73" t="s">
        <v>203</v>
      </c>
      <c r="B181" s="83"/>
      <c r="C181" s="83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64">
        <v>509348057</v>
      </c>
      <c r="O181" s="85" t="e">
        <f t="shared" si="180"/>
        <v>#DIV/0!</v>
      </c>
      <c r="P181" s="87">
        <v>15785919456</v>
      </c>
      <c r="Q181" s="93">
        <f t="shared" si="168"/>
        <v>24.827001201263045</v>
      </c>
      <c r="R181" s="109">
        <f t="shared" si="178"/>
        <v>1.103973099910641E-2</v>
      </c>
      <c r="S181" s="107"/>
    </row>
    <row r="182" spans="1:19" ht="15.75" hidden="1" x14ac:dyDescent="0.25">
      <c r="A182" s="73" t="s">
        <v>204</v>
      </c>
      <c r="B182" s="83"/>
      <c r="C182" s="83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64">
        <v>4789140510</v>
      </c>
      <c r="O182" s="85" t="e">
        <f t="shared" si="180"/>
        <v>#DIV/0!</v>
      </c>
      <c r="P182" s="87">
        <v>367063195620</v>
      </c>
      <c r="Q182" s="93">
        <f t="shared" si="168"/>
        <v>62.87075002524827</v>
      </c>
      <c r="R182" s="109">
        <f t="shared" si="178"/>
        <v>0.2567021167574095</v>
      </c>
      <c r="S182" s="111"/>
    </row>
    <row r="183" spans="1:19" ht="15.75" hidden="1" x14ac:dyDescent="0.25">
      <c r="A183" s="73" t="s">
        <v>205</v>
      </c>
      <c r="B183" s="83"/>
      <c r="C183" s="83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64">
        <v>654201408</v>
      </c>
      <c r="O183" s="85" t="e">
        <f t="shared" si="180"/>
        <v>#DIV/0!</v>
      </c>
      <c r="P183" s="87">
        <v>9165807780</v>
      </c>
      <c r="Q183" s="93">
        <f t="shared" si="168"/>
        <v>10.675568191378764</v>
      </c>
      <c r="R183" s="109">
        <f t="shared" si="178"/>
        <v>6.4100195470246481E-3</v>
      </c>
      <c r="S183" s="107"/>
    </row>
    <row r="184" spans="1:19" ht="15.75" hidden="1" x14ac:dyDescent="0.25">
      <c r="A184" s="73" t="s">
        <v>206</v>
      </c>
      <c r="B184" s="83"/>
      <c r="C184" s="83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64">
        <v>258887276</v>
      </c>
      <c r="O184" s="85">
        <f t="shared" si="180"/>
        <v>1.1164996140408112</v>
      </c>
      <c r="P184" s="87">
        <v>7006241016</v>
      </c>
      <c r="Q184" s="93">
        <f t="shared" si="168"/>
        <v>21.552418451032715</v>
      </c>
      <c r="R184" s="109">
        <f t="shared" si="178"/>
        <v>4.8997472936014187E-3</v>
      </c>
      <c r="S184" s="107"/>
    </row>
    <row r="185" spans="1:19" ht="15.75" hidden="1" x14ac:dyDescent="0.25">
      <c r="A185" s="73" t="s">
        <v>207</v>
      </c>
      <c r="B185" s="83"/>
      <c r="C185" s="83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64">
        <v>105403115</v>
      </c>
      <c r="O185" s="85" t="e">
        <f t="shared" si="180"/>
        <v>#DIV/0!</v>
      </c>
      <c r="P185" s="87">
        <v>3203631408</v>
      </c>
      <c r="Q185" s="93">
        <f t="shared" si="168"/>
        <v>24.328405521981015</v>
      </c>
      <c r="R185" s="109">
        <f t="shared" si="178"/>
        <v>2.2404288241294644E-3</v>
      </c>
      <c r="S185" s="107"/>
    </row>
    <row r="186" spans="1:19" ht="15.75" hidden="1" x14ac:dyDescent="0.25">
      <c r="A186" s="73" t="s">
        <v>208</v>
      </c>
      <c r="B186" s="83"/>
      <c r="C186" s="83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64">
        <v>449634943</v>
      </c>
      <c r="O186" s="85" t="e">
        <f t="shared" si="180"/>
        <v>#DIV/0!</v>
      </c>
      <c r="P186" s="87">
        <v>6087516936</v>
      </c>
      <c r="Q186" s="93">
        <f t="shared" si="168"/>
        <v>10.282332165184949</v>
      </c>
      <c r="R186" s="109">
        <f t="shared" si="178"/>
        <v>4.2572464412518581E-3</v>
      </c>
      <c r="S186" s="107"/>
    </row>
    <row r="187" spans="1:19" ht="15.75" hidden="1" x14ac:dyDescent="0.25">
      <c r="A187" s="73" t="s">
        <v>209</v>
      </c>
      <c r="B187" s="83"/>
      <c r="C187" s="83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64">
        <v>386731406</v>
      </c>
      <c r="O187" s="85">
        <f t="shared" si="180"/>
        <v>0.96093390435895387</v>
      </c>
      <c r="P187" s="87">
        <v>2981789064</v>
      </c>
      <c r="Q187" s="93">
        <f t="shared" si="168"/>
        <v>5.425193768721229</v>
      </c>
      <c r="R187" s="109">
        <f t="shared" si="178"/>
        <v>2.0852855137383571E-3</v>
      </c>
      <c r="S187" s="107"/>
    </row>
    <row r="188" spans="1:19" ht="15.75" hidden="1" x14ac:dyDescent="0.25">
      <c r="A188" s="73" t="s">
        <v>210</v>
      </c>
      <c r="B188" s="83"/>
      <c r="C188" s="83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64">
        <v>70204696</v>
      </c>
      <c r="O188" s="85" t="e">
        <f t="shared" si="180"/>
        <v>#DIV/0!</v>
      </c>
      <c r="P188" s="87">
        <v>6016066716</v>
      </c>
      <c r="Q188" s="93">
        <f t="shared" si="168"/>
        <v>70.411019712983318</v>
      </c>
      <c r="R188" s="109">
        <f t="shared" si="178"/>
        <v>4.2072784168472252E-3</v>
      </c>
      <c r="S188" s="111"/>
    </row>
    <row r="189" spans="1:19" ht="15.75" hidden="1" x14ac:dyDescent="0.25">
      <c r="A189" s="73" t="s">
        <v>211</v>
      </c>
      <c r="B189" s="83"/>
      <c r="C189" s="83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64">
        <v>22177107</v>
      </c>
      <c r="O189" s="85" t="e">
        <f t="shared" si="180"/>
        <v>#DIV/0!</v>
      </c>
      <c r="P189" s="87">
        <v>4547326368</v>
      </c>
      <c r="Q189" s="93">
        <f t="shared" si="168"/>
        <v>169.87163984012881</v>
      </c>
      <c r="R189" s="109">
        <f t="shared" si="178"/>
        <v>3.1801289755588351E-3</v>
      </c>
      <c r="S189" s="112"/>
    </row>
    <row r="190" spans="1:19" ht="15.75" hidden="1" x14ac:dyDescent="0.25">
      <c r="A190" s="73" t="s">
        <v>212</v>
      </c>
      <c r="B190" s="83"/>
      <c r="C190" s="83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64">
        <v>24542521317</v>
      </c>
      <c r="O190" s="85" t="e">
        <f t="shared" si="180"/>
        <v>#DIV/0!</v>
      </c>
      <c r="Q190" s="93">
        <f t="shared" si="168"/>
        <v>-1</v>
      </c>
      <c r="R190" s="109">
        <f t="shared" si="178"/>
        <v>0</v>
      </c>
      <c r="S190" s="112"/>
    </row>
    <row r="191" spans="1:19" ht="15.75" hidden="1" x14ac:dyDescent="0.25">
      <c r="A191" s="73" t="s">
        <v>213</v>
      </c>
      <c r="B191" s="83"/>
      <c r="C191" s="83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64">
        <v>299364084095</v>
      </c>
      <c r="O191" s="85" t="e">
        <f t="shared" ref="O191:O205" si="182">+N184/((B184/12)*9)</f>
        <v>#DIV/0!</v>
      </c>
      <c r="Q191" s="93">
        <f t="shared" si="168"/>
        <v>-1</v>
      </c>
      <c r="R191" s="109">
        <f t="shared" si="178"/>
        <v>0</v>
      </c>
      <c r="S191" s="112"/>
    </row>
    <row r="192" spans="1:19" ht="15.75" hidden="1" x14ac:dyDescent="0.25">
      <c r="A192" s="73" t="s">
        <v>214</v>
      </c>
      <c r="B192" s="83"/>
      <c r="C192" s="83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64">
        <v>19916719526</v>
      </c>
      <c r="O192" s="85" t="e">
        <f t="shared" si="182"/>
        <v>#DIV/0!</v>
      </c>
      <c r="Q192" s="93">
        <f t="shared" si="168"/>
        <v>-1</v>
      </c>
      <c r="R192" s="109">
        <f t="shared" si="178"/>
        <v>0</v>
      </c>
      <c r="S192" s="112"/>
    </row>
    <row r="193" spans="1:19" ht="15.75" hidden="1" x14ac:dyDescent="0.25">
      <c r="A193" s="73" t="s">
        <v>193</v>
      </c>
      <c r="B193" s="83"/>
      <c r="C193" s="83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64">
        <v>8444461122</v>
      </c>
      <c r="O193" s="85" t="e">
        <f t="shared" si="182"/>
        <v>#DIV/0!</v>
      </c>
      <c r="Q193" s="93">
        <f t="shared" si="168"/>
        <v>-1</v>
      </c>
      <c r="R193" s="109">
        <f t="shared" si="178"/>
        <v>0</v>
      </c>
      <c r="S193" s="112"/>
    </row>
    <row r="194" spans="1:19" ht="15.75" hidden="1" x14ac:dyDescent="0.25">
      <c r="A194" s="73" t="s">
        <v>215</v>
      </c>
      <c r="B194" s="83"/>
      <c r="C194" s="83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64">
        <v>3455547258</v>
      </c>
      <c r="O194" s="85" t="e">
        <f t="shared" si="182"/>
        <v>#DIV/0!</v>
      </c>
      <c r="Q194" s="93">
        <f t="shared" si="168"/>
        <v>-1</v>
      </c>
      <c r="R194" s="109">
        <f t="shared" si="178"/>
        <v>0</v>
      </c>
      <c r="S194" s="112"/>
    </row>
    <row r="195" spans="1:19" ht="15.75" hidden="1" x14ac:dyDescent="0.25">
      <c r="A195" s="73" t="s">
        <v>216</v>
      </c>
      <c r="B195" s="83"/>
      <c r="C195" s="83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64">
        <v>18070364422</v>
      </c>
      <c r="O195" s="85" t="e">
        <f t="shared" si="182"/>
        <v>#DIV/0!</v>
      </c>
      <c r="Q195" s="93">
        <f t="shared" si="168"/>
        <v>-1</v>
      </c>
      <c r="R195" s="109">
        <f t="shared" si="178"/>
        <v>0</v>
      </c>
      <c r="S195" s="112"/>
    </row>
    <row r="196" spans="1:19" ht="15.75" hidden="1" x14ac:dyDescent="0.25">
      <c r="A196" s="73" t="s">
        <v>217</v>
      </c>
      <c r="B196" s="83"/>
      <c r="C196" s="83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64">
        <v>15752605684</v>
      </c>
      <c r="O196" s="85" t="e">
        <f t="shared" si="182"/>
        <v>#DIV/0!</v>
      </c>
      <c r="Q196" s="93">
        <f t="shared" si="168"/>
        <v>-1</v>
      </c>
      <c r="R196" s="109">
        <f t="shared" si="178"/>
        <v>0</v>
      </c>
      <c r="S196" s="112"/>
    </row>
    <row r="197" spans="1:19" ht="15.75" hidden="1" x14ac:dyDescent="0.25">
      <c r="A197" s="73" t="s">
        <v>218</v>
      </c>
      <c r="B197" s="83"/>
      <c r="C197" s="83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64">
        <v>8222371514</v>
      </c>
      <c r="O197" s="85" t="e">
        <f t="shared" si="182"/>
        <v>#DIV/0!</v>
      </c>
      <c r="Q197" s="93">
        <f t="shared" ref="Q197:Q231" si="183">(+P197/((N197/10)*12))-1</f>
        <v>-1</v>
      </c>
      <c r="R197" s="109">
        <f t="shared" si="178"/>
        <v>0</v>
      </c>
      <c r="S197" s="112"/>
    </row>
    <row r="198" spans="1:19" ht="15.75" hidden="1" x14ac:dyDescent="0.25">
      <c r="A198" s="73" t="s">
        <v>219</v>
      </c>
      <c r="B198" s="83"/>
      <c r="C198" s="83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64">
        <v>3379761166</v>
      </c>
      <c r="O198" s="85" t="e">
        <f t="shared" si="182"/>
        <v>#DIV/0!</v>
      </c>
      <c r="Q198" s="93">
        <f t="shared" si="183"/>
        <v>-1</v>
      </c>
      <c r="R198" s="109">
        <f t="shared" si="178"/>
        <v>0</v>
      </c>
      <c r="S198" s="112"/>
    </row>
    <row r="199" spans="1:19" ht="15.75" x14ac:dyDescent="0.25">
      <c r="A199" s="82" t="s">
        <v>25</v>
      </c>
      <c r="B199" s="83">
        <v>351903210435.73358</v>
      </c>
      <c r="C199" s="83">
        <f t="shared" si="176"/>
        <v>29325267536.311131</v>
      </c>
      <c r="D199" s="81">
        <v>31404467355</v>
      </c>
      <c r="E199" s="81">
        <v>34158505969</v>
      </c>
      <c r="F199" s="81">
        <v>23695279923</v>
      </c>
      <c r="G199" s="81">
        <v>32027799488</v>
      </c>
      <c r="H199" s="81">
        <v>34037570077</v>
      </c>
      <c r="I199" s="81">
        <v>23114709752</v>
      </c>
      <c r="J199" s="81">
        <v>25167329583</v>
      </c>
      <c r="K199" s="81">
        <v>35482282516</v>
      </c>
      <c r="L199" s="81">
        <v>24559031652</v>
      </c>
      <c r="M199" s="81">
        <v>44541977585</v>
      </c>
      <c r="N199" s="64">
        <f t="shared" si="181"/>
        <v>308188953900</v>
      </c>
      <c r="O199" s="85" t="e">
        <f>+N192/((B192/12)*10)</f>
        <v>#DIV/0!</v>
      </c>
      <c r="P199" s="62">
        <f>SUM(P201:P203)</f>
        <v>149205701256</v>
      </c>
      <c r="Q199" s="93">
        <f t="shared" si="183"/>
        <v>-0.59655243055744056</v>
      </c>
      <c r="R199" s="109">
        <f t="shared" si="178"/>
        <v>0.10434557264722391</v>
      </c>
      <c r="S199" s="112"/>
    </row>
    <row r="200" spans="1:19" ht="15.75" hidden="1" x14ac:dyDescent="0.25">
      <c r="A200" s="73" t="s">
        <v>220</v>
      </c>
      <c r="B200" s="83"/>
      <c r="C200" s="83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64">
        <v>106349482</v>
      </c>
      <c r="O200" s="85" t="e">
        <f t="shared" si="182"/>
        <v>#DIV/0!</v>
      </c>
      <c r="Q200" s="93">
        <f t="shared" si="183"/>
        <v>-1</v>
      </c>
      <c r="R200" s="109">
        <f t="shared" si="178"/>
        <v>0</v>
      </c>
      <c r="S200" s="112"/>
    </row>
    <row r="201" spans="1:19" ht="15.75" hidden="1" x14ac:dyDescent="0.25">
      <c r="A201" s="73" t="s">
        <v>221</v>
      </c>
      <c r="B201" s="83"/>
      <c r="C201" s="83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64">
        <v>4757630244</v>
      </c>
      <c r="O201" s="85" t="e">
        <f t="shared" si="182"/>
        <v>#DIV/0!</v>
      </c>
      <c r="Q201" s="93">
        <f t="shared" si="183"/>
        <v>-1</v>
      </c>
      <c r="R201" s="109">
        <f t="shared" si="178"/>
        <v>0</v>
      </c>
      <c r="S201" s="112"/>
    </row>
    <row r="202" spans="1:19" ht="15.75" hidden="1" x14ac:dyDescent="0.25">
      <c r="A202" s="73" t="s">
        <v>222</v>
      </c>
      <c r="B202" s="83"/>
      <c r="C202" s="83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64">
        <v>5951456230</v>
      </c>
      <c r="O202" s="85" t="e">
        <f t="shared" si="182"/>
        <v>#DIV/0!</v>
      </c>
      <c r="P202" s="87">
        <v>5205701256</v>
      </c>
      <c r="Q202" s="93">
        <f t="shared" si="183"/>
        <v>-0.27108858532258751</v>
      </c>
      <c r="R202" s="109">
        <f t="shared" si="178"/>
        <v>3.6405571235894672E-3</v>
      </c>
      <c r="S202" s="112"/>
    </row>
    <row r="203" spans="1:19" ht="15.75" hidden="1" x14ac:dyDescent="0.25">
      <c r="A203" s="73" t="s">
        <v>223</v>
      </c>
      <c r="B203" s="83"/>
      <c r="C203" s="83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64">
        <v>297373517944</v>
      </c>
      <c r="O203" s="85" t="e">
        <f t="shared" si="182"/>
        <v>#DIV/0!</v>
      </c>
      <c r="P203" s="87">
        <v>144000000000</v>
      </c>
      <c r="Q203" s="93">
        <f t="shared" si="183"/>
        <v>-0.59646709354059624</v>
      </c>
      <c r="R203" s="109">
        <f t="shared" si="178"/>
        <v>0.10070501552363444</v>
      </c>
      <c r="S203" s="112"/>
    </row>
    <row r="204" spans="1:19" ht="15.75" x14ac:dyDescent="0.35">
      <c r="A204" s="98" t="s">
        <v>224</v>
      </c>
      <c r="B204" s="83"/>
      <c r="C204" s="83"/>
      <c r="D204" s="81"/>
      <c r="E204" s="81"/>
      <c r="F204" s="81"/>
      <c r="G204" s="81"/>
      <c r="H204" s="81"/>
      <c r="I204" s="81"/>
      <c r="J204" s="81"/>
      <c r="K204" s="81"/>
      <c r="L204" s="81"/>
      <c r="M204" s="81">
        <v>0</v>
      </c>
      <c r="N204" s="64">
        <f>+N205</f>
        <v>3269124643</v>
      </c>
      <c r="O204" s="85" t="e">
        <f>+N197/((B197/12)*10)</f>
        <v>#DIV/0!</v>
      </c>
      <c r="P204" s="96">
        <f>+P205</f>
        <v>16936804380</v>
      </c>
      <c r="Q204" s="93">
        <f t="shared" si="183"/>
        <v>3.3173647967878965</v>
      </c>
      <c r="R204" s="109">
        <f t="shared" si="178"/>
        <v>1.1844591305615692E-2</v>
      </c>
      <c r="S204" s="112"/>
    </row>
    <row r="205" spans="1:19" ht="15.75" hidden="1" x14ac:dyDescent="0.25">
      <c r="A205" s="27" t="s">
        <v>224</v>
      </c>
      <c r="B205" s="83"/>
      <c r="C205" s="83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64">
        <v>3269124643</v>
      </c>
      <c r="O205" s="85" t="e">
        <f t="shared" si="182"/>
        <v>#DIV/0!</v>
      </c>
      <c r="P205" s="87">
        <v>16936804380</v>
      </c>
      <c r="Q205" s="93">
        <f t="shared" si="183"/>
        <v>3.3173647967878965</v>
      </c>
      <c r="R205" s="109">
        <f t="shared" si="178"/>
        <v>1.1844591305615692E-2</v>
      </c>
      <c r="S205" s="112"/>
    </row>
    <row r="206" spans="1:19" ht="17.25" hidden="1" x14ac:dyDescent="0.4">
      <c r="A206" s="98" t="s">
        <v>233</v>
      </c>
      <c r="B206" s="83"/>
      <c r="C206" s="83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64"/>
      <c r="O206" s="85"/>
      <c r="P206" s="108">
        <f>+P207</f>
        <v>0</v>
      </c>
      <c r="Q206" s="93"/>
      <c r="R206" s="109">
        <f t="shared" si="178"/>
        <v>0</v>
      </c>
      <c r="S206" s="112"/>
    </row>
    <row r="207" spans="1:19" ht="15.75" hidden="1" x14ac:dyDescent="0.25">
      <c r="A207" s="27" t="s">
        <v>233</v>
      </c>
      <c r="B207" s="83"/>
      <c r="C207" s="83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64"/>
      <c r="O207" s="85"/>
      <c r="P207" s="107"/>
      <c r="Q207" s="93" t="e">
        <f t="shared" si="183"/>
        <v>#DIV/0!</v>
      </c>
      <c r="R207" s="109">
        <f t="shared" si="178"/>
        <v>0</v>
      </c>
      <c r="S207" s="112"/>
    </row>
    <row r="208" spans="1:19" hidden="1" x14ac:dyDescent="0.2">
      <c r="A208" s="89" t="s">
        <v>234</v>
      </c>
      <c r="B208" s="89">
        <f>+B212+B213</f>
        <v>90327000610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>
        <f>SUM(M209:M216)</f>
        <v>-8486848320</v>
      </c>
      <c r="N208" s="89">
        <f>SUM(N209:N216)</f>
        <v>114309666434</v>
      </c>
      <c r="O208" s="89"/>
      <c r="P208" s="89">
        <v>49907942131.199997</v>
      </c>
      <c r="Q208" s="93">
        <f t="shared" si="183"/>
        <v>-0.63616417514425017</v>
      </c>
      <c r="R208" s="109">
        <f t="shared" si="178"/>
        <v>3.4902639493577393E-2</v>
      </c>
      <c r="S208" s="112"/>
    </row>
    <row r="209" spans="1:19" ht="17.25" hidden="1" x14ac:dyDescent="0.4">
      <c r="A209" s="36" t="s">
        <v>252</v>
      </c>
      <c r="B209" s="83"/>
      <c r="C209" s="83"/>
      <c r="D209" s="81"/>
      <c r="E209" s="81"/>
      <c r="F209" s="81"/>
      <c r="G209" s="81"/>
      <c r="H209" s="81"/>
      <c r="I209" s="81"/>
      <c r="J209" s="81"/>
      <c r="K209" s="81"/>
      <c r="L209" s="81"/>
      <c r="M209" s="81">
        <v>8415488940</v>
      </c>
      <c r="N209" s="64">
        <v>73320540476</v>
      </c>
      <c r="O209" s="85"/>
      <c r="P209" s="97"/>
      <c r="Q209" s="93">
        <f t="shared" si="183"/>
        <v>-1</v>
      </c>
      <c r="R209" s="109">
        <f t="shared" si="178"/>
        <v>0</v>
      </c>
      <c r="S209" s="112"/>
    </row>
    <row r="210" spans="1:19" ht="17.25" hidden="1" x14ac:dyDescent="0.4">
      <c r="A210" s="36" t="s">
        <v>250</v>
      </c>
      <c r="B210" s="83"/>
      <c r="C210" s="83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64">
        <v>1287312687</v>
      </c>
      <c r="O210" s="85"/>
      <c r="P210" s="97"/>
      <c r="Q210" s="93">
        <f t="shared" si="183"/>
        <v>-1</v>
      </c>
      <c r="R210" s="109">
        <f t="shared" si="178"/>
        <v>0</v>
      </c>
      <c r="S210" s="112"/>
    </row>
    <row r="211" spans="1:19" ht="17.25" hidden="1" x14ac:dyDescent="0.4">
      <c r="A211" s="36" t="s">
        <v>251</v>
      </c>
      <c r="B211" s="83"/>
      <c r="C211" s="83"/>
      <c r="D211" s="81"/>
      <c r="E211" s="81"/>
      <c r="F211" s="81"/>
      <c r="G211" s="81"/>
      <c r="H211" s="81"/>
      <c r="I211" s="81"/>
      <c r="J211" s="81"/>
      <c r="K211" s="81"/>
      <c r="L211" s="81"/>
      <c r="M211" s="81">
        <v>-736630001</v>
      </c>
      <c r="N211" s="64">
        <v>387210250</v>
      </c>
      <c r="O211" s="85"/>
      <c r="P211" s="97"/>
      <c r="Q211" s="93">
        <f t="shared" si="183"/>
        <v>-1</v>
      </c>
      <c r="R211" s="109">
        <f t="shared" si="178"/>
        <v>0</v>
      </c>
      <c r="S211" s="112"/>
    </row>
    <row r="212" spans="1:19" ht="15.75" hidden="1" x14ac:dyDescent="0.25">
      <c r="A212" s="27" t="s">
        <v>248</v>
      </c>
      <c r="B212" s="83">
        <v>24469500602</v>
      </c>
      <c r="C212" s="83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64">
        <v>2664783100</v>
      </c>
      <c r="O212" s="85"/>
      <c r="P212" s="87">
        <v>1876354581</v>
      </c>
      <c r="Q212" s="93">
        <f t="shared" si="183"/>
        <v>-0.41322473206168264</v>
      </c>
      <c r="R212" s="109">
        <f t="shared" ref="R212:R218" si="184">+P212/$P$146</f>
        <v>1.3122105361628306E-3</v>
      </c>
      <c r="S212" s="112"/>
    </row>
    <row r="213" spans="1:19" ht="15.75" hidden="1" x14ac:dyDescent="0.25">
      <c r="A213" s="27" t="s">
        <v>249</v>
      </c>
      <c r="B213" s="83">
        <v>65857500008</v>
      </c>
      <c r="C213" s="83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64">
        <v>68981234439</v>
      </c>
      <c r="O213" s="85"/>
      <c r="P213" s="87">
        <v>48031587550.199997</v>
      </c>
      <c r="Q213" s="93">
        <f t="shared" si="183"/>
        <v>-0.4197505555819645</v>
      </c>
      <c r="R213" s="109">
        <f t="shared" si="184"/>
        <v>3.3590428957414563E-2</v>
      </c>
      <c r="S213" s="112"/>
    </row>
    <row r="214" spans="1:19" ht="15.75" hidden="1" x14ac:dyDescent="0.25">
      <c r="A214" s="36" t="s">
        <v>239</v>
      </c>
      <c r="B214" s="83"/>
      <c r="C214" s="83"/>
      <c r="D214" s="81"/>
      <c r="E214" s="81"/>
      <c r="F214" s="81"/>
      <c r="G214" s="81"/>
      <c r="H214" s="81"/>
      <c r="I214" s="81"/>
      <c r="J214" s="81"/>
      <c r="K214" s="81"/>
      <c r="L214" s="81"/>
      <c r="M214" s="81">
        <v>-16165707259</v>
      </c>
      <c r="N214" s="64">
        <v>-16165707259</v>
      </c>
      <c r="O214" s="85"/>
      <c r="P214" s="87"/>
      <c r="Q214" s="93">
        <f t="shared" si="183"/>
        <v>-1</v>
      </c>
      <c r="R214" s="109">
        <f t="shared" si="184"/>
        <v>0</v>
      </c>
      <c r="S214" s="112"/>
    </row>
    <row r="215" spans="1:19" ht="15.75" hidden="1" x14ac:dyDescent="0.25">
      <c r="A215" s="36" t="s">
        <v>240</v>
      </c>
      <c r="B215" s="83"/>
      <c r="C215" s="83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64">
        <v>-627802654</v>
      </c>
      <c r="O215" s="85"/>
      <c r="P215" s="87"/>
      <c r="Q215" s="93">
        <f t="shared" si="183"/>
        <v>-1</v>
      </c>
      <c r="R215" s="109">
        <f t="shared" si="184"/>
        <v>0</v>
      </c>
      <c r="S215" s="112"/>
    </row>
    <row r="216" spans="1:19" ht="15.75" hidden="1" x14ac:dyDescent="0.25">
      <c r="A216" s="36" t="s">
        <v>241</v>
      </c>
      <c r="B216" s="83"/>
      <c r="C216" s="83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64">
        <v>-15537904605</v>
      </c>
      <c r="O216" s="85"/>
      <c r="P216" s="87"/>
      <c r="Q216" s="93">
        <f t="shared" si="183"/>
        <v>-1</v>
      </c>
      <c r="R216" s="109">
        <f t="shared" si="184"/>
        <v>0</v>
      </c>
      <c r="S216" s="112"/>
    </row>
    <row r="217" spans="1:19" ht="15.75" hidden="1" x14ac:dyDescent="0.25">
      <c r="A217" s="82" t="s">
        <v>28</v>
      </c>
      <c r="B217" s="83">
        <v>0</v>
      </c>
      <c r="C217" s="83">
        <f t="shared" si="176"/>
        <v>0</v>
      </c>
      <c r="D217" s="81">
        <v>0</v>
      </c>
      <c r="E217" s="81"/>
      <c r="F217" s="81"/>
      <c r="G217" s="81"/>
      <c r="H217" s="81">
        <v>92500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>
        <f t="shared" si="181"/>
        <v>92500</v>
      </c>
      <c r="O217" s="85" t="e">
        <f>+N205/((B205/12)*10)</f>
        <v>#DIV/0!</v>
      </c>
      <c r="Q217" s="93">
        <f t="shared" si="183"/>
        <v>-1</v>
      </c>
      <c r="R217" s="109">
        <f t="shared" si="184"/>
        <v>0</v>
      </c>
      <c r="S217" s="112"/>
    </row>
    <row r="218" spans="1:19" ht="15.75" hidden="1" x14ac:dyDescent="0.25">
      <c r="A218" s="36" t="s">
        <v>225</v>
      </c>
      <c r="B218" s="83"/>
      <c r="C218" s="83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64">
        <v>92500</v>
      </c>
      <c r="O218" s="85" t="e">
        <f>+#REF!/((#REF!/12)*9)</f>
        <v>#REF!</v>
      </c>
      <c r="Q218" s="93">
        <f t="shared" si="183"/>
        <v>-1</v>
      </c>
      <c r="R218" s="102">
        <f t="shared" si="184"/>
        <v>0</v>
      </c>
    </row>
    <row r="219" spans="1:19" x14ac:dyDescent="0.2">
      <c r="A219" s="59" t="s">
        <v>144</v>
      </c>
      <c r="B219" s="60">
        <f>B220</f>
        <v>4305496143.8829994</v>
      </c>
      <c r="C219" s="60">
        <f>C220</f>
        <v>358791345.3235833</v>
      </c>
      <c r="D219" s="60">
        <f>D220</f>
        <v>17841805516</v>
      </c>
      <c r="E219" s="60">
        <f t="shared" ref="E219:P219" si="185">E220</f>
        <v>-15831946441</v>
      </c>
      <c r="F219" s="60">
        <f t="shared" si="185"/>
        <v>10894934637</v>
      </c>
      <c r="G219" s="60">
        <f t="shared" si="185"/>
        <v>14312781577</v>
      </c>
      <c r="H219" s="60">
        <f t="shared" si="185"/>
        <v>9941165429</v>
      </c>
      <c r="I219" s="60">
        <f t="shared" si="185"/>
        <v>-337724756</v>
      </c>
      <c r="J219" s="60">
        <f t="shared" si="185"/>
        <v>-3710927982.0024233</v>
      </c>
      <c r="K219" s="60">
        <f t="shared" si="185"/>
        <v>-791309431.99757802</v>
      </c>
      <c r="L219" s="60">
        <f t="shared" si="185"/>
        <v>6760652691</v>
      </c>
      <c r="M219" s="60">
        <f t="shared" si="185"/>
        <v>-1358708068</v>
      </c>
      <c r="N219" s="60">
        <f t="shared" si="185"/>
        <v>37720723171</v>
      </c>
      <c r="O219" s="60">
        <f t="shared" si="185"/>
        <v>57599640826</v>
      </c>
      <c r="P219" s="60">
        <f t="shared" si="185"/>
        <v>74589634178.644073</v>
      </c>
      <c r="Q219" s="93">
        <f t="shared" si="183"/>
        <v>0.64784827163629255</v>
      </c>
    </row>
    <row r="220" spans="1:19" ht="15" hidden="1" x14ac:dyDescent="0.25">
      <c r="A220" s="36" t="s">
        <v>29</v>
      </c>
      <c r="B220" s="35">
        <f>Hoja1!I31</f>
        <v>4305496143.8829994</v>
      </c>
      <c r="C220" s="35">
        <f t="shared" ref="C220" si="186">+B220/12</f>
        <v>358791345.3235833</v>
      </c>
      <c r="D220" s="64">
        <v>17841805516</v>
      </c>
      <c r="E220" s="64">
        <v>-15831946441</v>
      </c>
      <c r="F220" s="64">
        <v>10894934637</v>
      </c>
      <c r="G220" s="64">
        <v>14312781577</v>
      </c>
      <c r="H220" s="64">
        <v>9941165429</v>
      </c>
      <c r="I220" s="64">
        <v>-337724756</v>
      </c>
      <c r="J220" s="64">
        <v>-3710927982.0024233</v>
      </c>
      <c r="K220" s="64">
        <v>-791309431.99757802</v>
      </c>
      <c r="L220" s="64">
        <v>6760652691</v>
      </c>
      <c r="M220" s="78">
        <v>-1358708068</v>
      </c>
      <c r="N220" s="64">
        <f>+E220+D220+F220+G220+H220+I220+J220+K220+L220+M220</f>
        <v>37720723171</v>
      </c>
      <c r="O220" s="64">
        <f t="shared" ref="O220" si="187">+F220+E220+G220+H220+I220+J220+K220+L220+M220+N220</f>
        <v>57599640826</v>
      </c>
      <c r="P220" s="64">
        <f>SUM(P221:P224)</f>
        <v>74589634178.644073</v>
      </c>
      <c r="Q220" s="93">
        <f t="shared" si="183"/>
        <v>0.64784827163629255</v>
      </c>
    </row>
    <row r="221" spans="1:19" ht="15.75" hidden="1" x14ac:dyDescent="0.25">
      <c r="A221" s="27" t="s">
        <v>235</v>
      </c>
      <c r="B221" s="35"/>
      <c r="C221" s="35"/>
      <c r="D221" s="64"/>
      <c r="E221" s="64"/>
      <c r="F221" s="64"/>
      <c r="G221" s="64"/>
      <c r="H221" s="64"/>
      <c r="I221" s="64"/>
      <c r="J221" s="64"/>
      <c r="K221" s="64"/>
      <c r="L221" s="64"/>
      <c r="M221" s="78"/>
      <c r="N221" s="64"/>
      <c r="O221" s="85"/>
      <c r="P221" s="87">
        <v>0</v>
      </c>
      <c r="Q221" s="93" t="e">
        <f t="shared" si="183"/>
        <v>#DIV/0!</v>
      </c>
    </row>
    <row r="222" spans="1:19" ht="15.75" hidden="1" x14ac:dyDescent="0.25">
      <c r="A222" s="27" t="s">
        <v>236</v>
      </c>
      <c r="B222" s="35"/>
      <c r="C222" s="35"/>
      <c r="D222" s="64"/>
      <c r="E222" s="64"/>
      <c r="F222" s="64"/>
      <c r="G222" s="64"/>
      <c r="H222" s="64"/>
      <c r="I222" s="64"/>
      <c r="J222" s="64"/>
      <c r="K222" s="64"/>
      <c r="L222" s="64"/>
      <c r="M222" s="78"/>
      <c r="N222" s="64"/>
      <c r="O222" s="85"/>
      <c r="P222" s="87">
        <v>63703901111.964127</v>
      </c>
      <c r="Q222" s="93" t="e">
        <f t="shared" si="183"/>
        <v>#DIV/0!</v>
      </c>
    </row>
    <row r="223" spans="1:19" ht="15.75" hidden="1" x14ac:dyDescent="0.25">
      <c r="A223" s="27" t="s">
        <v>237</v>
      </c>
      <c r="B223" s="35"/>
      <c r="C223" s="35"/>
      <c r="D223" s="64"/>
      <c r="E223" s="64"/>
      <c r="F223" s="64"/>
      <c r="G223" s="64"/>
      <c r="H223" s="64"/>
      <c r="I223" s="64"/>
      <c r="J223" s="64"/>
      <c r="K223" s="64"/>
      <c r="L223" s="64"/>
      <c r="M223" s="78"/>
      <c r="N223" s="64"/>
      <c r="O223" s="85"/>
      <c r="P223" s="87">
        <v>10442528687.040207</v>
      </c>
      <c r="Q223" s="93" t="e">
        <f t="shared" si="183"/>
        <v>#DIV/0!</v>
      </c>
    </row>
    <row r="224" spans="1:19" ht="15.75" hidden="1" x14ac:dyDescent="0.25">
      <c r="A224" s="27" t="s">
        <v>238</v>
      </c>
      <c r="B224" s="35"/>
      <c r="C224" s="35"/>
      <c r="D224" s="64"/>
      <c r="E224" s="64"/>
      <c r="F224" s="64"/>
      <c r="G224" s="64"/>
      <c r="H224" s="64"/>
      <c r="I224" s="64"/>
      <c r="J224" s="64"/>
      <c r="K224" s="64"/>
      <c r="L224" s="64"/>
      <c r="M224" s="78"/>
      <c r="N224" s="64"/>
      <c r="O224" s="85"/>
      <c r="P224" s="87">
        <v>443204379.63973314</v>
      </c>
      <c r="Q224" s="93" t="e">
        <f t="shared" si="183"/>
        <v>#DIV/0!</v>
      </c>
    </row>
    <row r="225" spans="1:18" x14ac:dyDescent="0.2">
      <c r="A225" s="59" t="s">
        <v>14</v>
      </c>
      <c r="B225" s="60">
        <f>B226</f>
        <v>78000000</v>
      </c>
      <c r="C225" s="60">
        <f>C226</f>
        <v>6500000</v>
      </c>
      <c r="D225" s="60">
        <f>D226</f>
        <v>182214935</v>
      </c>
      <c r="E225" s="60">
        <f t="shared" ref="E225:P225" si="188">E226</f>
        <v>205839058</v>
      </c>
      <c r="F225" s="60">
        <f t="shared" si="188"/>
        <v>267730169</v>
      </c>
      <c r="G225" s="60">
        <f t="shared" si="188"/>
        <v>251465548</v>
      </c>
      <c r="H225" s="60">
        <f t="shared" si="188"/>
        <v>159188810</v>
      </c>
      <c r="I225" s="60">
        <f t="shared" si="188"/>
        <v>201597520</v>
      </c>
      <c r="J225" s="60">
        <f t="shared" si="188"/>
        <v>282757653</v>
      </c>
      <c r="K225" s="60">
        <f t="shared" si="188"/>
        <v>212194637</v>
      </c>
      <c r="L225" s="60">
        <f t="shared" si="188"/>
        <v>401158719</v>
      </c>
      <c r="M225" s="60">
        <f t="shared" si="188"/>
        <v>112692828</v>
      </c>
      <c r="N225" s="60">
        <f t="shared" si="188"/>
        <v>2276839877</v>
      </c>
      <c r="O225" s="60" t="e">
        <f>O226</f>
        <v>#REF!</v>
      </c>
      <c r="P225" s="60">
        <f t="shared" si="188"/>
        <v>2600000000</v>
      </c>
      <c r="Q225" s="93">
        <f t="shared" si="183"/>
        <v>-4.8388651062497678E-2</v>
      </c>
    </row>
    <row r="226" spans="1:18" ht="15.75" hidden="1" x14ac:dyDescent="0.25">
      <c r="A226" s="36" t="s">
        <v>145</v>
      </c>
      <c r="B226" s="35">
        <f>Hoja1!I32</f>
        <v>78000000</v>
      </c>
      <c r="C226" s="35">
        <f t="shared" ref="C226" si="189">+B226/12</f>
        <v>6500000</v>
      </c>
      <c r="D226" s="64">
        <v>182214935</v>
      </c>
      <c r="E226" s="64">
        <v>205839058</v>
      </c>
      <c r="F226" s="64">
        <v>267730169</v>
      </c>
      <c r="G226" s="64">
        <v>251465548</v>
      </c>
      <c r="H226" s="64">
        <v>159188810</v>
      </c>
      <c r="I226" s="64">
        <v>201597520</v>
      </c>
      <c r="J226" s="64">
        <v>282757653</v>
      </c>
      <c r="K226" s="64">
        <v>212194637</v>
      </c>
      <c r="L226" s="64">
        <v>401158719</v>
      </c>
      <c r="M226" s="64">
        <v>112692828</v>
      </c>
      <c r="N226" s="64">
        <f t="shared" si="181"/>
        <v>2276839877</v>
      </c>
      <c r="O226" s="85" t="e">
        <f>+#REF!/((#REF!/12)*9)</f>
        <v>#REF!</v>
      </c>
      <c r="P226" s="62">
        <v>2600000000</v>
      </c>
      <c r="Q226" s="93">
        <f t="shared" si="183"/>
        <v>-4.8388651062497678E-2</v>
      </c>
    </row>
    <row r="227" spans="1:18" x14ac:dyDescent="0.2">
      <c r="A227" s="59" t="s">
        <v>161</v>
      </c>
      <c r="B227" s="59">
        <f>+B228</f>
        <v>0</v>
      </c>
      <c r="C227" s="59">
        <f>+C228</f>
        <v>0</v>
      </c>
      <c r="D227" s="66">
        <f>+D228</f>
        <v>17027104559</v>
      </c>
      <c r="E227" s="66">
        <f t="shared" ref="E227:F227" si="190">+E228</f>
        <v>40503671465</v>
      </c>
      <c r="F227" s="66">
        <f t="shared" si="190"/>
        <v>-246776024</v>
      </c>
      <c r="G227" s="66">
        <f>+G228+G230</f>
        <v>-25657590601</v>
      </c>
      <c r="H227" s="66">
        <f t="shared" ref="H227" si="191">+H228+H230</f>
        <v>21741272773</v>
      </c>
      <c r="I227" s="66">
        <f t="shared" ref="I227:J227" si="192">+I228+I230</f>
        <v>15683673</v>
      </c>
      <c r="J227" s="66">
        <f t="shared" si="192"/>
        <v>-29898876</v>
      </c>
      <c r="K227" s="66">
        <f>+K228+K230+K229</f>
        <v>-44156452395</v>
      </c>
      <c r="L227" s="66">
        <f>+L228+L230+L229</f>
        <v>11357492464</v>
      </c>
      <c r="M227" s="66">
        <f>+M228+M230+M229</f>
        <v>-20447634560</v>
      </c>
      <c r="N227" s="66">
        <f>+N228+N230+N229</f>
        <v>106872478</v>
      </c>
      <c r="O227" s="66" t="e">
        <f t="shared" ref="O227:P227" si="193">+O228+O230+O229</f>
        <v>#DIV/0!</v>
      </c>
      <c r="P227" s="66">
        <f t="shared" si="193"/>
        <v>0</v>
      </c>
      <c r="Q227" s="93">
        <f t="shared" si="183"/>
        <v>-1</v>
      </c>
    </row>
    <row r="228" spans="1:18" ht="15.75" hidden="1" x14ac:dyDescent="0.25">
      <c r="A228" s="36" t="s">
        <v>153</v>
      </c>
      <c r="B228" s="34"/>
      <c r="C228" s="35">
        <f t="shared" ref="C228:C230" si="194">+B228/12</f>
        <v>0</v>
      </c>
      <c r="D228" s="64">
        <v>17027104559</v>
      </c>
      <c r="E228" s="64">
        <v>40503671465</v>
      </c>
      <c r="F228" s="64">
        <v>-246776024</v>
      </c>
      <c r="G228" s="64">
        <v>-25657590601</v>
      </c>
      <c r="H228" s="64">
        <v>21686914300</v>
      </c>
      <c r="I228" s="64">
        <v>0</v>
      </c>
      <c r="J228" s="64">
        <v>0</v>
      </c>
      <c r="K228" s="64">
        <v>-53313323699</v>
      </c>
      <c r="L228" s="64"/>
      <c r="M228" s="64">
        <v>0</v>
      </c>
      <c r="N228" s="64">
        <f t="shared" si="181"/>
        <v>0</v>
      </c>
      <c r="O228" s="85" t="e">
        <f>+N217/((B217/12)*9)</f>
        <v>#DIV/0!</v>
      </c>
      <c r="Q228" s="93" t="e">
        <f t="shared" si="183"/>
        <v>#DIV/0!</v>
      </c>
    </row>
    <row r="229" spans="1:18" ht="15.75" hidden="1" x14ac:dyDescent="0.25">
      <c r="A229" s="36" t="s">
        <v>168</v>
      </c>
      <c r="B229" s="34"/>
      <c r="C229" s="35">
        <f t="shared" si="194"/>
        <v>0</v>
      </c>
      <c r="D229" s="64"/>
      <c r="E229" s="64"/>
      <c r="F229" s="64"/>
      <c r="G229" s="64"/>
      <c r="H229" s="64"/>
      <c r="I229" s="64"/>
      <c r="J229" s="64">
        <v>0</v>
      </c>
      <c r="K229" s="64">
        <v>9156133587</v>
      </c>
      <c r="L229" s="64">
        <v>11291500973</v>
      </c>
      <c r="M229" s="64">
        <v>-20447634560</v>
      </c>
      <c r="N229" s="64">
        <f t="shared" si="181"/>
        <v>0</v>
      </c>
      <c r="O229" s="85" t="e">
        <f>+N218/((B218/12)*9)</f>
        <v>#DIV/0!</v>
      </c>
      <c r="Q229" s="93" t="e">
        <f t="shared" si="183"/>
        <v>#DIV/0!</v>
      </c>
    </row>
    <row r="230" spans="1:18" ht="15.75" hidden="1" x14ac:dyDescent="0.25">
      <c r="A230" s="73" t="s">
        <v>162</v>
      </c>
      <c r="B230" s="34"/>
      <c r="C230" s="35">
        <f t="shared" si="194"/>
        <v>0</v>
      </c>
      <c r="D230" s="64"/>
      <c r="E230" s="64"/>
      <c r="F230" s="64"/>
      <c r="G230" s="64"/>
      <c r="H230" s="64">
        <v>54358473</v>
      </c>
      <c r="I230" s="64">
        <v>15683673</v>
      </c>
      <c r="J230" s="64">
        <v>-29898876</v>
      </c>
      <c r="K230" s="64">
        <v>737717</v>
      </c>
      <c r="L230" s="64">
        <v>65991491</v>
      </c>
      <c r="M230" s="64">
        <v>0</v>
      </c>
      <c r="N230" s="64">
        <f t="shared" si="181"/>
        <v>106872478</v>
      </c>
      <c r="O230" s="85">
        <f>+N219/((B219/12)*9)</f>
        <v>11.6814173978041</v>
      </c>
      <c r="Q230" s="93">
        <f t="shared" si="183"/>
        <v>-1</v>
      </c>
    </row>
    <row r="231" spans="1:18" ht="15" x14ac:dyDescent="0.25">
      <c r="A231" s="29" t="s">
        <v>258</v>
      </c>
      <c r="B231" s="47">
        <f t="shared" ref="B231:N231" si="195">B4-B18</f>
        <v>-60509105383.329346</v>
      </c>
      <c r="C231" s="47">
        <f t="shared" si="195"/>
        <v>2484824602.2225647</v>
      </c>
      <c r="D231" s="47">
        <f t="shared" si="195"/>
        <v>28491123971</v>
      </c>
      <c r="E231" s="47">
        <f t="shared" si="195"/>
        <v>-20492090209</v>
      </c>
      <c r="F231" s="47">
        <f t="shared" si="195"/>
        <v>-24197294245</v>
      </c>
      <c r="G231" s="47">
        <f t="shared" si="195"/>
        <v>-41833775981</v>
      </c>
      <c r="H231" s="47">
        <f t="shared" si="195"/>
        <v>-73204560234</v>
      </c>
      <c r="I231" s="47">
        <f t="shared" si="195"/>
        <v>135584753</v>
      </c>
      <c r="J231" s="47">
        <f t="shared" si="195"/>
        <v>10715867853.002426</v>
      </c>
      <c r="K231" s="47">
        <f t="shared" si="195"/>
        <v>39972954423.997574</v>
      </c>
      <c r="L231" s="47">
        <f t="shared" si="195"/>
        <v>1581539096</v>
      </c>
      <c r="M231" s="47">
        <f t="shared" si="195"/>
        <v>-20949631310</v>
      </c>
      <c r="N231" s="47">
        <f t="shared" si="195"/>
        <v>-168900322234</v>
      </c>
      <c r="O231" s="47" t="e">
        <f t="shared" ref="O231:P231" si="196">O4-O18</f>
        <v>#DIV/0!</v>
      </c>
      <c r="P231" s="47">
        <f t="shared" si="196"/>
        <v>-51449206494.187744</v>
      </c>
      <c r="Q231" s="93">
        <f t="shared" si="183"/>
        <v>-0.7461559683364194</v>
      </c>
      <c r="R231" s="104">
        <f>+P231/P4</f>
        <v>-3.3359272423405341E-2</v>
      </c>
    </row>
    <row r="232" spans="1:18" ht="15.75" x14ac:dyDescent="0.2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85">
        <f t="shared" ref="O232:O238" si="197">+N225/((B225/12)*10)</f>
        <v>35.028305799999998</v>
      </c>
      <c r="Q232" s="74"/>
    </row>
    <row r="233" spans="1:18" ht="15.75" x14ac:dyDescent="0.2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85">
        <f t="shared" si="197"/>
        <v>35.028305799999998</v>
      </c>
      <c r="Q233" s="74"/>
    </row>
    <row r="234" spans="1:18" ht="15.75" x14ac:dyDescent="0.2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85" t="e">
        <f t="shared" si="197"/>
        <v>#DIV/0!</v>
      </c>
      <c r="Q234" s="74"/>
    </row>
    <row r="235" spans="1:18" ht="15.75" x14ac:dyDescent="0.2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85" t="e">
        <f t="shared" si="197"/>
        <v>#DIV/0!</v>
      </c>
      <c r="Q235" s="74"/>
    </row>
    <row r="236" spans="1:18" ht="15.75" x14ac:dyDescent="0.2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85" t="e">
        <f t="shared" si="197"/>
        <v>#DIV/0!</v>
      </c>
      <c r="Q236" s="74"/>
    </row>
    <row r="237" spans="1:18" ht="15.75" x14ac:dyDescent="0.2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85" t="e">
        <f t="shared" si="197"/>
        <v>#DIV/0!</v>
      </c>
      <c r="Q237" s="74"/>
    </row>
    <row r="238" spans="1:18" ht="15.75" x14ac:dyDescent="0.2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85">
        <f t="shared" si="197"/>
        <v>3.3495849161346181</v>
      </c>
    </row>
    <row r="239" spans="1:18" ht="18" x14ac:dyDescent="0.4">
      <c r="N239" s="80"/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scale="5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3"/>
  <sheetViews>
    <sheetView showGridLines="0" tabSelected="1" topLeftCell="A162" zoomScale="90" zoomScaleNormal="90" zoomScaleSheetLayoutView="90" zoomScalePageLayoutView="80" workbookViewId="0">
      <selection activeCell="R13" sqref="R13"/>
    </sheetView>
  </sheetViews>
  <sheetFormatPr baseColWidth="10" defaultRowHeight="15" x14ac:dyDescent="0.25"/>
  <cols>
    <col min="1" max="1" width="39.28515625" style="27" customWidth="1"/>
    <col min="2" max="3" width="23.85546875" style="62" customWidth="1"/>
    <col min="4" max="14" width="20" style="67" hidden="1" customWidth="1"/>
    <col min="15" max="15" width="20" style="67" customWidth="1"/>
    <col min="16" max="16" width="22" style="67" bestFit="1" customWidth="1"/>
    <col min="17" max="17" width="12.140625" style="147" customWidth="1"/>
    <col min="18" max="18" width="22.140625" style="153" customWidth="1"/>
    <col min="19" max="19" width="22.140625" customWidth="1"/>
    <col min="20" max="20" width="20.5703125" style="197" customWidth="1"/>
    <col min="21" max="21" width="28.28515625" style="167" customWidth="1"/>
  </cols>
  <sheetData>
    <row r="1" spans="1:21" ht="20.25" x14ac:dyDescent="0.3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21" ht="15.75" x14ac:dyDescent="0.25">
      <c r="A2" s="226" t="s">
        <v>263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21" ht="15.75" x14ac:dyDescent="0.25">
      <c r="A3" s="114"/>
      <c r="B3" s="114"/>
      <c r="C3" s="114"/>
      <c r="D3" s="114"/>
      <c r="E3" s="120"/>
      <c r="F3" s="143"/>
      <c r="G3" s="143"/>
      <c r="H3" s="145"/>
      <c r="I3" s="151"/>
      <c r="J3" s="162"/>
      <c r="K3" s="165"/>
      <c r="L3" s="182"/>
      <c r="M3" s="193"/>
      <c r="N3" s="211"/>
      <c r="O3" s="214"/>
      <c r="P3" s="114"/>
      <c r="Q3" s="146"/>
    </row>
    <row r="4" spans="1:21" ht="47.25" x14ac:dyDescent="0.25">
      <c r="A4" s="51" t="s">
        <v>56</v>
      </c>
      <c r="B4" s="115" t="s">
        <v>360</v>
      </c>
      <c r="C4" s="116" t="s">
        <v>262</v>
      </c>
      <c r="D4" s="115">
        <v>43101</v>
      </c>
      <c r="E4" s="115">
        <v>43132</v>
      </c>
      <c r="F4" s="115">
        <v>43160</v>
      </c>
      <c r="G4" s="115">
        <v>43191</v>
      </c>
      <c r="H4" s="115">
        <v>43221</v>
      </c>
      <c r="I4" s="115">
        <v>43252</v>
      </c>
      <c r="J4" s="115">
        <v>43282</v>
      </c>
      <c r="K4" s="115">
        <v>43313</v>
      </c>
      <c r="L4" s="115">
        <v>43344</v>
      </c>
      <c r="M4" s="115">
        <v>43374</v>
      </c>
      <c r="N4" s="115">
        <v>43405</v>
      </c>
      <c r="O4" s="115">
        <v>43435</v>
      </c>
      <c r="P4" s="115" t="s">
        <v>357</v>
      </c>
      <c r="Q4" s="223" t="s">
        <v>154</v>
      </c>
    </row>
    <row r="5" spans="1:21" ht="15.75" x14ac:dyDescent="0.25">
      <c r="A5" s="49" t="s">
        <v>146</v>
      </c>
      <c r="B5" s="50">
        <f t="shared" ref="B5:P5" si="0">+B6+B15+B17</f>
        <v>1542276037713.8875</v>
      </c>
      <c r="C5" s="50">
        <f t="shared" si="0"/>
        <v>128523003142.82394</v>
      </c>
      <c r="D5" s="131">
        <f t="shared" si="0"/>
        <v>157397045991</v>
      </c>
      <c r="E5" s="131">
        <f t="shared" si="0"/>
        <v>132396041802</v>
      </c>
      <c r="F5" s="131">
        <f t="shared" si="0"/>
        <v>148248219782</v>
      </c>
      <c r="G5" s="131">
        <f t="shared" si="0"/>
        <v>138522551685</v>
      </c>
      <c r="H5" s="131">
        <f t="shared" si="0"/>
        <v>133680428896</v>
      </c>
      <c r="I5" s="131">
        <f t="shared" si="0"/>
        <v>131146979773</v>
      </c>
      <c r="J5" s="131">
        <f t="shared" si="0"/>
        <v>119243791882</v>
      </c>
      <c r="K5" s="50">
        <f t="shared" si="0"/>
        <v>130655811984</v>
      </c>
      <c r="L5" s="50">
        <f t="shared" si="0"/>
        <v>134012387573</v>
      </c>
      <c r="M5" s="50">
        <f t="shared" si="0"/>
        <v>135483094825</v>
      </c>
      <c r="N5" s="50">
        <f t="shared" si="0"/>
        <v>133077519152</v>
      </c>
      <c r="O5" s="50">
        <f t="shared" si="0"/>
        <v>144588622102</v>
      </c>
      <c r="P5" s="50">
        <f t="shared" si="0"/>
        <v>1638452495447</v>
      </c>
      <c r="Q5" s="163">
        <f t="shared" ref="Q5:Q34" si="1">+P5/((B5/12)*12)</f>
        <v>1.0623600804144469</v>
      </c>
      <c r="R5" s="188"/>
      <c r="S5" s="77"/>
      <c r="U5" s="220"/>
    </row>
    <row r="6" spans="1:21" ht="15.75" x14ac:dyDescent="0.25">
      <c r="A6" s="30" t="s">
        <v>243</v>
      </c>
      <c r="B6" s="45">
        <f t="shared" ref="B6:P6" si="2">SUM(B7:B14)</f>
        <v>1468168904306.9785</v>
      </c>
      <c r="C6" s="45">
        <f t="shared" si="2"/>
        <v>122347408692.2482</v>
      </c>
      <c r="D6" s="132">
        <f t="shared" si="2"/>
        <v>126767045533</v>
      </c>
      <c r="E6" s="132">
        <f t="shared" si="2"/>
        <v>127354425344</v>
      </c>
      <c r="F6" s="132">
        <f t="shared" si="2"/>
        <v>125564694848</v>
      </c>
      <c r="G6" s="132">
        <f t="shared" si="2"/>
        <v>129799502935</v>
      </c>
      <c r="H6" s="132">
        <f t="shared" si="2"/>
        <v>127744121286</v>
      </c>
      <c r="I6" s="132">
        <f t="shared" si="2"/>
        <v>127893913840</v>
      </c>
      <c r="J6" s="132">
        <f t="shared" si="2"/>
        <v>128606638109</v>
      </c>
      <c r="K6" s="45">
        <f t="shared" si="2"/>
        <v>129474708048</v>
      </c>
      <c r="L6" s="45">
        <f t="shared" si="2"/>
        <v>127299744018</v>
      </c>
      <c r="M6" s="45">
        <f t="shared" si="2"/>
        <v>128677368351</v>
      </c>
      <c r="N6" s="45">
        <f t="shared" si="2"/>
        <v>128256122325</v>
      </c>
      <c r="O6" s="45">
        <f t="shared" si="2"/>
        <v>139208500995</v>
      </c>
      <c r="P6" s="45">
        <f t="shared" si="2"/>
        <v>1546646785632</v>
      </c>
      <c r="Q6" s="163">
        <f t="shared" si="1"/>
        <v>1.0534528970711756</v>
      </c>
      <c r="S6" s="77"/>
      <c r="T6" s="215"/>
    </row>
    <row r="7" spans="1:21" x14ac:dyDescent="0.25">
      <c r="A7" s="36" t="s">
        <v>9</v>
      </c>
      <c r="B7" s="123">
        <v>1391576708765.2478</v>
      </c>
      <c r="C7" s="123">
        <f>+B7/12</f>
        <v>115964725730.43732</v>
      </c>
      <c r="D7" s="64">
        <v>121813909354</v>
      </c>
      <c r="E7" s="64">
        <v>120611134031</v>
      </c>
      <c r="F7" s="64">
        <v>120169995907</v>
      </c>
      <c r="G7" s="64">
        <v>121821015530</v>
      </c>
      <c r="H7" s="64">
        <v>120801992695</v>
      </c>
      <c r="I7" s="64">
        <v>121197656787</v>
      </c>
      <c r="J7" s="64">
        <v>121600411577</v>
      </c>
      <c r="K7" s="123">
        <v>121489941949</v>
      </c>
      <c r="L7" s="123">
        <v>120084870973</v>
      </c>
      <c r="M7" s="212">
        <v>121414584061</v>
      </c>
      <c r="N7" s="212">
        <v>120596413448</v>
      </c>
      <c r="O7" s="212">
        <f>121138579354-138791</f>
        <v>121138440563</v>
      </c>
      <c r="P7" s="123">
        <f>+D7+E7+F7+G7+H7+I7+J7+K7+L7+M7+N7+O7</f>
        <v>1452740366875</v>
      </c>
      <c r="Q7" s="170">
        <f>+P7/((B7/12)*12)</f>
        <v>1.0439527750964035</v>
      </c>
      <c r="R7" s="154"/>
      <c r="S7" s="77"/>
    </row>
    <row r="8" spans="1:21" x14ac:dyDescent="0.25">
      <c r="A8" s="36" t="s">
        <v>10</v>
      </c>
      <c r="B8" s="123">
        <f>63523386102.0553*0.85</f>
        <v>53994878186.747002</v>
      </c>
      <c r="C8" s="123">
        <f t="shared" ref="C8:C18" si="3">+B8/12</f>
        <v>4499573182.2289171</v>
      </c>
      <c r="D8" s="64">
        <v>4610180654</v>
      </c>
      <c r="E8" s="64">
        <v>5782720626</v>
      </c>
      <c r="F8" s="64">
        <v>4809651710</v>
      </c>
      <c r="G8" s="64">
        <v>6992960740</v>
      </c>
      <c r="H8" s="64">
        <v>6052081719</v>
      </c>
      <c r="I8" s="64">
        <v>5924184972</v>
      </c>
      <c r="J8" s="64">
        <v>5686743085</v>
      </c>
      <c r="K8" s="123">
        <v>6788765854</v>
      </c>
      <c r="L8" s="123">
        <v>6257583565</v>
      </c>
      <c r="M8" s="212">
        <v>6275012321</v>
      </c>
      <c r="N8" s="212">
        <v>6833870865</v>
      </c>
      <c r="O8" s="212">
        <v>6790694388</v>
      </c>
      <c r="P8" s="123">
        <f t="shared" ref="P8:P13" si="4">+D8+E8+F8+G8+H8+I8+J8+K8+L8+M8+N8+O8</f>
        <v>72804450499</v>
      </c>
      <c r="Q8" s="170">
        <f t="shared" si="1"/>
        <v>1.3483584544296607</v>
      </c>
      <c r="R8" s="154"/>
      <c r="S8" s="77"/>
    </row>
    <row r="9" spans="1:21" x14ac:dyDescent="0.25">
      <c r="A9" s="36" t="s">
        <v>11</v>
      </c>
      <c r="B9" s="123">
        <v>3512600647.6862812</v>
      </c>
      <c r="C9" s="123">
        <f t="shared" si="3"/>
        <v>292716720.64052343</v>
      </c>
      <c r="D9" s="64">
        <v>18762096</v>
      </c>
      <c r="E9" s="64">
        <v>409151114</v>
      </c>
      <c r="F9" s="64">
        <v>242090228</v>
      </c>
      <c r="G9" s="64">
        <v>479201167</v>
      </c>
      <c r="H9" s="64">
        <v>296508975</v>
      </c>
      <c r="I9" s="64">
        <v>341580036</v>
      </c>
      <c r="J9" s="64">
        <v>313748682</v>
      </c>
      <c r="K9" s="123">
        <v>404426559</v>
      </c>
      <c r="L9" s="123">
        <v>294876131</v>
      </c>
      <c r="M9" s="212">
        <v>359728973</v>
      </c>
      <c r="N9" s="212">
        <v>303626059</v>
      </c>
      <c r="O9" s="212">
        <v>307283966</v>
      </c>
      <c r="P9" s="123">
        <f t="shared" si="4"/>
        <v>3770983986</v>
      </c>
      <c r="Q9" s="170">
        <f t="shared" si="1"/>
        <v>1.073558984988491</v>
      </c>
      <c r="R9" s="154"/>
      <c r="S9" s="77"/>
    </row>
    <row r="10" spans="1:21" x14ac:dyDescent="0.25">
      <c r="A10" s="36" t="s">
        <v>12</v>
      </c>
      <c r="B10" s="123">
        <v>854016989.22009993</v>
      </c>
      <c r="C10" s="123">
        <f t="shared" si="3"/>
        <v>71168082.435008332</v>
      </c>
      <c r="D10" s="64">
        <v>0</v>
      </c>
      <c r="E10" s="64"/>
      <c r="F10" s="64"/>
      <c r="G10" s="64"/>
      <c r="H10" s="64">
        <v>0</v>
      </c>
      <c r="I10" s="64">
        <v>0</v>
      </c>
      <c r="J10" s="64">
        <v>0</v>
      </c>
      <c r="K10" s="123">
        <v>0</v>
      </c>
      <c r="L10" s="123">
        <v>0</v>
      </c>
      <c r="M10" s="212">
        <v>0</v>
      </c>
      <c r="N10" s="212">
        <v>0</v>
      </c>
      <c r="O10" s="212">
        <v>0</v>
      </c>
      <c r="P10" s="123">
        <f t="shared" si="4"/>
        <v>0</v>
      </c>
      <c r="Q10" s="170">
        <f t="shared" si="1"/>
        <v>0</v>
      </c>
      <c r="R10" s="154"/>
      <c r="S10" s="77"/>
      <c r="T10" s="216"/>
    </row>
    <row r="11" spans="1:21" x14ac:dyDescent="0.25">
      <c r="A11" s="36" t="s">
        <v>13</v>
      </c>
      <c r="B11" s="123">
        <v>180200268.35757917</v>
      </c>
      <c r="C11" s="123">
        <f t="shared" si="3"/>
        <v>15016689.029798264</v>
      </c>
      <c r="D11" s="64">
        <v>146656973</v>
      </c>
      <c r="E11" s="64">
        <v>184478297</v>
      </c>
      <c r="F11" s="64">
        <v>151660732</v>
      </c>
      <c r="G11" s="64">
        <v>222741045</v>
      </c>
      <c r="H11" s="64">
        <v>193685353</v>
      </c>
      <c r="I11" s="64">
        <v>188063558</v>
      </c>
      <c r="J11" s="64">
        <v>182099392</v>
      </c>
      <c r="K11" s="123">
        <v>218587480</v>
      </c>
      <c r="L11" s="123">
        <v>200492927</v>
      </c>
      <c r="M11" s="212">
        <v>201081480</v>
      </c>
      <c r="N11" s="212">
        <v>219869689</v>
      </c>
      <c r="O11" s="212">
        <v>218729810</v>
      </c>
      <c r="P11" s="123">
        <f t="shared" si="4"/>
        <v>2328146736</v>
      </c>
      <c r="Q11" s="170">
        <f t="shared" si="1"/>
        <v>12.919773967151691</v>
      </c>
      <c r="R11" s="154"/>
      <c r="S11" s="77"/>
    </row>
    <row r="12" spans="1:21" x14ac:dyDescent="0.25">
      <c r="A12" s="36" t="s">
        <v>14</v>
      </c>
      <c r="B12" s="123">
        <v>1212886421.6375523</v>
      </c>
      <c r="C12" s="123">
        <f t="shared" si="3"/>
        <v>101073868.46979602</v>
      </c>
      <c r="D12" s="64">
        <v>177536456</v>
      </c>
      <c r="E12" s="64">
        <v>366941276</v>
      </c>
      <c r="F12" s="64">
        <v>191296271</v>
      </c>
      <c r="G12" s="64">
        <v>283584453</v>
      </c>
      <c r="H12" s="64">
        <v>399852544</v>
      </c>
      <c r="I12" s="64">
        <v>242428487</v>
      </c>
      <c r="J12" s="64">
        <v>823635373</v>
      </c>
      <c r="K12" s="123">
        <v>572986206</v>
      </c>
      <c r="L12" s="123">
        <v>461920422</v>
      </c>
      <c r="M12" s="212">
        <v>426961516</v>
      </c>
      <c r="N12" s="212">
        <v>302342264</v>
      </c>
      <c r="O12" s="212">
        <v>982860398</v>
      </c>
      <c r="P12" s="123">
        <f t="shared" si="4"/>
        <v>5232345666</v>
      </c>
      <c r="Q12" s="170">
        <f>+P12/((B12/12)*12)</f>
        <v>4.3139617796492953</v>
      </c>
      <c r="R12" s="154"/>
      <c r="S12" s="77"/>
    </row>
    <row r="13" spans="1:21" x14ac:dyDescent="0.25">
      <c r="A13" s="36" t="s">
        <v>15</v>
      </c>
      <c r="B13" s="123">
        <v>8837613028.0819759</v>
      </c>
      <c r="C13" s="123">
        <f t="shared" si="3"/>
        <v>736467752.34016466</v>
      </c>
      <c r="D13" s="64">
        <v>0</v>
      </c>
      <c r="E13" s="64"/>
      <c r="F13" s="64"/>
      <c r="G13" s="64"/>
      <c r="H13" s="64">
        <v>0</v>
      </c>
      <c r="I13" s="64">
        <v>0</v>
      </c>
      <c r="J13" s="64">
        <v>0</v>
      </c>
      <c r="K13" s="123"/>
      <c r="L13" s="123">
        <v>0</v>
      </c>
      <c r="M13" s="212"/>
      <c r="N13" s="212"/>
      <c r="O13" s="212">
        <v>6770701807</v>
      </c>
      <c r="P13" s="123">
        <f t="shared" si="4"/>
        <v>6770701807</v>
      </c>
      <c r="Q13" s="170">
        <f t="shared" si="1"/>
        <v>0.7661233622116902</v>
      </c>
      <c r="R13" s="161"/>
      <c r="S13" s="77"/>
      <c r="T13" s="142"/>
    </row>
    <row r="14" spans="1:21" x14ac:dyDescent="0.25">
      <c r="A14" s="36" t="s">
        <v>16</v>
      </c>
      <c r="B14" s="123">
        <v>8000000000</v>
      </c>
      <c r="C14" s="123">
        <f t="shared" si="3"/>
        <v>666666666.66666663</v>
      </c>
      <c r="D14" s="133">
        <v>0</v>
      </c>
      <c r="E14" s="133"/>
      <c r="F14" s="133">
        <v>0</v>
      </c>
      <c r="G14" s="133"/>
      <c r="H14" s="133">
        <v>0</v>
      </c>
      <c r="I14" s="133">
        <v>0</v>
      </c>
      <c r="J14" s="133"/>
      <c r="K14" s="123"/>
      <c r="L14" s="123">
        <v>0</v>
      </c>
      <c r="M14" s="123"/>
      <c r="N14" s="123"/>
      <c r="O14" s="123">
        <v>2999790063</v>
      </c>
      <c r="P14" s="123">
        <f>+D14+E14+F14+G14+H14+I14+J14+K14+L14+M14+N14+O14</f>
        <v>2999790063</v>
      </c>
      <c r="Q14" s="170">
        <f t="shared" si="1"/>
        <v>0.37497375787499998</v>
      </c>
      <c r="R14" s="154"/>
      <c r="S14" s="77"/>
      <c r="T14" s="142"/>
    </row>
    <row r="15" spans="1:21" x14ac:dyDescent="0.25">
      <c r="A15" s="30" t="s">
        <v>242</v>
      </c>
      <c r="B15" s="45">
        <f t="shared" ref="B15:N15" si="5">+B16</f>
        <v>58548372757.240013</v>
      </c>
      <c r="C15" s="45">
        <f t="shared" si="5"/>
        <v>4879031063.1033344</v>
      </c>
      <c r="D15" s="132">
        <f t="shared" si="5"/>
        <v>5910926014</v>
      </c>
      <c r="E15" s="132">
        <f t="shared" si="5"/>
        <v>5606892787</v>
      </c>
      <c r="F15" s="132">
        <f t="shared" si="5"/>
        <v>2285322581</v>
      </c>
      <c r="G15" s="132">
        <f t="shared" si="5"/>
        <v>3637954877</v>
      </c>
      <c r="H15" s="132">
        <f t="shared" si="5"/>
        <v>8396136973</v>
      </c>
      <c r="I15" s="132">
        <f t="shared" si="5"/>
        <v>512979483</v>
      </c>
      <c r="J15" s="132">
        <f t="shared" si="5"/>
        <v>4690952854</v>
      </c>
      <c r="K15" s="45">
        <f t="shared" si="5"/>
        <v>2256973298</v>
      </c>
      <c r="L15" s="45">
        <f t="shared" si="5"/>
        <v>4487000985</v>
      </c>
      <c r="M15" s="45">
        <f t="shared" si="5"/>
        <v>5064759301</v>
      </c>
      <c r="N15" s="45">
        <f t="shared" si="5"/>
        <v>4384362748</v>
      </c>
      <c r="O15" s="45">
        <f>+O16</f>
        <v>4537334714</v>
      </c>
      <c r="P15" s="45">
        <f>+P16</f>
        <v>51771596615</v>
      </c>
      <c r="Q15" s="169">
        <f t="shared" si="1"/>
        <v>0.88425338189434122</v>
      </c>
      <c r="R15" s="154"/>
      <c r="S15" s="77"/>
      <c r="T15" s="142"/>
    </row>
    <row r="16" spans="1:21" x14ac:dyDescent="0.25">
      <c r="A16" s="36" t="s">
        <v>259</v>
      </c>
      <c r="B16" s="123">
        <v>58548372757.240013</v>
      </c>
      <c r="C16" s="123">
        <f t="shared" si="3"/>
        <v>4879031063.1033344</v>
      </c>
      <c r="D16" s="64">
        <v>5910926014</v>
      </c>
      <c r="E16" s="64">
        <v>5606892787</v>
      </c>
      <c r="F16" s="64">
        <v>2285322581</v>
      </c>
      <c r="G16" s="64">
        <v>3637954877</v>
      </c>
      <c r="H16" s="64">
        <v>8396136973</v>
      </c>
      <c r="I16" s="64">
        <v>512979483</v>
      </c>
      <c r="J16" s="64">
        <v>4690952854</v>
      </c>
      <c r="K16" s="123">
        <v>2256973298</v>
      </c>
      <c r="L16" s="123">
        <v>4487000985</v>
      </c>
      <c r="M16" s="123">
        <v>5064759301</v>
      </c>
      <c r="N16" s="123">
        <v>4384362748</v>
      </c>
      <c r="O16" s="123">
        <f>3871817371+665517343</f>
        <v>4537334714</v>
      </c>
      <c r="P16" s="123">
        <f>+D16+E16+F16+G16+H16+I16+J16+K16+L16+M16+N16+O16</f>
        <v>51771596615</v>
      </c>
      <c r="Q16" s="170">
        <f t="shared" si="1"/>
        <v>0.88425338189434122</v>
      </c>
      <c r="R16" s="154"/>
      <c r="S16" s="77"/>
      <c r="T16" s="142"/>
    </row>
    <row r="17" spans="1:21" x14ac:dyDescent="0.25">
      <c r="A17" s="30" t="s">
        <v>147</v>
      </c>
      <c r="B17" s="45">
        <f t="shared" ref="B17:O17" si="6">+B18</f>
        <v>15558760649.668894</v>
      </c>
      <c r="C17" s="45">
        <f t="shared" si="6"/>
        <v>1296563387.4724078</v>
      </c>
      <c r="D17" s="45">
        <f t="shared" si="6"/>
        <v>24719074444</v>
      </c>
      <c r="E17" s="45">
        <f t="shared" si="6"/>
        <v>-565276329</v>
      </c>
      <c r="F17" s="45">
        <f t="shared" si="6"/>
        <v>20398202353</v>
      </c>
      <c r="G17" s="45">
        <f t="shared" si="6"/>
        <v>5085093873</v>
      </c>
      <c r="H17" s="45">
        <f t="shared" si="6"/>
        <v>-2459829363</v>
      </c>
      <c r="I17" s="45">
        <f t="shared" si="6"/>
        <v>2740086450</v>
      </c>
      <c r="J17" s="45">
        <f t="shared" si="6"/>
        <v>-14053799081</v>
      </c>
      <c r="K17" s="45">
        <f t="shared" si="6"/>
        <v>-1075869362</v>
      </c>
      <c r="L17" s="45">
        <f t="shared" si="6"/>
        <v>2225642570</v>
      </c>
      <c r="M17" s="45">
        <f t="shared" si="6"/>
        <v>1740967173</v>
      </c>
      <c r="N17" s="45">
        <f t="shared" si="6"/>
        <v>437034079</v>
      </c>
      <c r="O17" s="45">
        <f t="shared" si="6"/>
        <v>842786393</v>
      </c>
      <c r="P17" s="45">
        <f>+P18</f>
        <v>40034113200</v>
      </c>
      <c r="Q17" s="169">
        <f t="shared" si="1"/>
        <v>2.5730913985653459</v>
      </c>
      <c r="R17" s="155"/>
      <c r="T17" s="142"/>
    </row>
    <row r="18" spans="1:21" x14ac:dyDescent="0.25">
      <c r="A18" s="36" t="s">
        <v>18</v>
      </c>
      <c r="B18" s="123">
        <v>15558760649.668894</v>
      </c>
      <c r="C18" s="123">
        <f t="shared" si="3"/>
        <v>1296563387.4724078</v>
      </c>
      <c r="D18" s="64">
        <v>24719074444</v>
      </c>
      <c r="E18" s="64">
        <v>-565276329</v>
      </c>
      <c r="F18" s="64">
        <v>20398202353</v>
      </c>
      <c r="G18" s="64">
        <v>5085093873</v>
      </c>
      <c r="H18" s="67">
        <v>-2459829363</v>
      </c>
      <c r="I18" s="67">
        <v>2740086450</v>
      </c>
      <c r="J18" s="67">
        <v>-14053799081</v>
      </c>
      <c r="K18" s="123">
        <v>-1075869362</v>
      </c>
      <c r="L18" s="123">
        <v>2225642570</v>
      </c>
      <c r="M18" s="123">
        <v>1740967173</v>
      </c>
      <c r="N18" s="123">
        <v>437034079</v>
      </c>
      <c r="O18" s="123">
        <v>842786393</v>
      </c>
      <c r="P18" s="123">
        <f>+D18+E18+F18+G18+H18+I18+J18+K18+L18+M18+N18+O18</f>
        <v>40034113200</v>
      </c>
      <c r="Q18" s="170">
        <f t="shared" si="1"/>
        <v>2.5730913985653459</v>
      </c>
      <c r="R18" s="154"/>
      <c r="S18" s="77"/>
      <c r="T18" s="168"/>
    </row>
    <row r="19" spans="1:21" ht="18" x14ac:dyDescent="0.4">
      <c r="A19" s="49" t="s">
        <v>57</v>
      </c>
      <c r="B19" s="50">
        <f t="shared" ref="B19:E19" si="7">B20+B132</f>
        <v>1593725244208.0752</v>
      </c>
      <c r="C19" s="50">
        <f t="shared" si="7"/>
        <v>132810437017.33961</v>
      </c>
      <c r="D19" s="131">
        <f t="shared" si="7"/>
        <v>149054174133</v>
      </c>
      <c r="E19" s="131">
        <f t="shared" si="7"/>
        <v>138826536204</v>
      </c>
      <c r="F19" s="131">
        <f t="shared" ref="F19" si="8">F20+F132</f>
        <v>158076046704.36026</v>
      </c>
      <c r="G19" s="131">
        <f t="shared" ref="G19:H19" si="9">G20+G132</f>
        <v>132125114533.63972</v>
      </c>
      <c r="H19" s="131">
        <f t="shared" si="9"/>
        <v>95184468553</v>
      </c>
      <c r="I19" s="131">
        <f t="shared" ref="I19:K19" si="10">I20+I132</f>
        <v>132246803443</v>
      </c>
      <c r="J19" s="131">
        <f t="shared" si="10"/>
        <v>123467109334</v>
      </c>
      <c r="K19" s="50">
        <f t="shared" si="10"/>
        <v>140463669032</v>
      </c>
      <c r="L19" s="50">
        <f>L20+L132</f>
        <v>151899866429</v>
      </c>
      <c r="M19" s="50">
        <f>M20+M132</f>
        <v>144251226856</v>
      </c>
      <c r="N19" s="50">
        <f>N20+N132</f>
        <v>154411488424</v>
      </c>
      <c r="O19" s="50">
        <f>O20+O132</f>
        <v>156915351526</v>
      </c>
      <c r="P19" s="50">
        <f>P20+P132</f>
        <v>1676976327849</v>
      </c>
      <c r="Q19" s="163">
        <f t="shared" si="1"/>
        <v>1.0522367854455945</v>
      </c>
      <c r="R19" s="155"/>
      <c r="S19" s="67"/>
      <c r="T19" s="80"/>
      <c r="U19" s="221"/>
    </row>
    <row r="20" spans="1:21" x14ac:dyDescent="0.25">
      <c r="A20" s="30" t="s">
        <v>48</v>
      </c>
      <c r="B20" s="45">
        <f t="shared" ref="B20:E20" si="11">B21+B44+B117+B121</f>
        <v>86616759898.231216</v>
      </c>
      <c r="C20" s="45">
        <f>C21+C44+C117+C121</f>
        <v>7218063324.852602</v>
      </c>
      <c r="D20" s="132">
        <f t="shared" si="11"/>
        <v>5191507875</v>
      </c>
      <c r="E20" s="132">
        <f t="shared" si="11"/>
        <v>5517721823</v>
      </c>
      <c r="F20" s="132">
        <f t="shared" ref="F20" si="12">F21+F44+F117+F121</f>
        <v>5684610785.3602686</v>
      </c>
      <c r="G20" s="132">
        <f t="shared" ref="G20:H20" si="13">G21+G44+G117+G121</f>
        <v>5505925887.6397314</v>
      </c>
      <c r="H20" s="132">
        <f t="shared" si="13"/>
        <v>6110411144</v>
      </c>
      <c r="I20" s="132">
        <f t="shared" ref="I20" si="14">I21+I44+I117+I121</f>
        <v>5668728586</v>
      </c>
      <c r="J20" s="132">
        <f t="shared" ref="J20:O20" si="15">J21+J44+J117+J121</f>
        <v>7003171967</v>
      </c>
      <c r="K20" s="45">
        <f t="shared" si="15"/>
        <v>6436041425</v>
      </c>
      <c r="L20" s="45">
        <f t="shared" si="15"/>
        <v>6617132666</v>
      </c>
      <c r="M20" s="45">
        <f t="shared" si="15"/>
        <v>6846000344</v>
      </c>
      <c r="N20" s="45">
        <f t="shared" si="15"/>
        <v>6463329342</v>
      </c>
      <c r="O20" s="45">
        <f t="shared" si="15"/>
        <v>7183247241</v>
      </c>
      <c r="P20" s="45">
        <f>P21+P44+P117+P121</f>
        <v>74282301763</v>
      </c>
      <c r="Q20" s="169">
        <f t="shared" si="1"/>
        <v>0.85759732701011482</v>
      </c>
      <c r="R20" s="154"/>
      <c r="S20" s="179"/>
      <c r="T20" s="168"/>
    </row>
    <row r="21" spans="1:21" ht="18" x14ac:dyDescent="0.4">
      <c r="A21" s="53" t="s">
        <v>32</v>
      </c>
      <c r="B21" s="54">
        <f t="shared" ref="B21:E21" si="16">+B22+B33+B37</f>
        <v>44641690536.471672</v>
      </c>
      <c r="C21" s="54">
        <f t="shared" si="16"/>
        <v>3720140878.0393062</v>
      </c>
      <c r="D21" s="134">
        <f t="shared" si="16"/>
        <v>3191348934</v>
      </c>
      <c r="E21" s="134">
        <f t="shared" si="16"/>
        <v>3348018834</v>
      </c>
      <c r="F21" s="134">
        <f t="shared" ref="F21" si="17">+F22+F33+F37</f>
        <v>3495861901</v>
      </c>
      <c r="G21" s="134">
        <f t="shared" ref="G21:H21" si="18">+G22+G33+G37</f>
        <v>3457310484</v>
      </c>
      <c r="H21" s="134">
        <f t="shared" si="18"/>
        <v>3525472809</v>
      </c>
      <c r="I21" s="134">
        <f t="shared" ref="I21:K21" si="19">+I22+I33+I37</f>
        <v>3552849707</v>
      </c>
      <c r="J21" s="134">
        <f t="shared" si="19"/>
        <v>3543635308</v>
      </c>
      <c r="K21" s="54">
        <f t="shared" si="19"/>
        <v>3612831610</v>
      </c>
      <c r="L21" s="54">
        <f>+L22+L33+L37</f>
        <v>3720887543</v>
      </c>
      <c r="M21" s="54">
        <f>+M22+M33+M37</f>
        <v>3818567933</v>
      </c>
      <c r="N21" s="54">
        <f>+N22+N33+N37</f>
        <v>3780791702</v>
      </c>
      <c r="O21" s="54">
        <f>+O22+O33+O37</f>
        <v>3487187848</v>
      </c>
      <c r="P21" s="54">
        <f>+P22+P33+P37</f>
        <v>42534764613</v>
      </c>
      <c r="Q21" s="171">
        <f t="shared" si="1"/>
        <v>0.95280362597938939</v>
      </c>
      <c r="R21" s="180"/>
      <c r="S21" s="77"/>
      <c r="T21" s="186"/>
      <c r="U21" s="192"/>
    </row>
    <row r="22" spans="1:21" x14ac:dyDescent="0.25">
      <c r="A22" s="33" t="s">
        <v>33</v>
      </c>
      <c r="B22" s="55">
        <f t="shared" ref="B22:E22" si="20">SUM(B23:B32)</f>
        <v>32097888262.484646</v>
      </c>
      <c r="C22" s="55">
        <f t="shared" si="20"/>
        <v>2674824021.8737211</v>
      </c>
      <c r="D22" s="135">
        <f t="shared" si="20"/>
        <v>2016803346</v>
      </c>
      <c r="E22" s="135">
        <f t="shared" si="20"/>
        <v>2147632090</v>
      </c>
      <c r="F22" s="135">
        <f t="shared" ref="F22" si="21">SUM(F23:F32)</f>
        <v>2255941002</v>
      </c>
      <c r="G22" s="135">
        <f t="shared" ref="G22:H22" si="22">SUM(G23:G32)</f>
        <v>2223577787</v>
      </c>
      <c r="H22" s="135">
        <f t="shared" si="22"/>
        <v>2259222283</v>
      </c>
      <c r="I22" s="135">
        <f t="shared" ref="I22:N22" si="23">SUM(I23:I32)</f>
        <v>2270255432</v>
      </c>
      <c r="J22" s="135">
        <f t="shared" si="23"/>
        <v>2231643021</v>
      </c>
      <c r="K22" s="55">
        <f t="shared" si="23"/>
        <v>2252763343</v>
      </c>
      <c r="L22" s="55">
        <f t="shared" si="23"/>
        <v>2280093948</v>
      </c>
      <c r="M22" s="55">
        <f t="shared" si="23"/>
        <v>2304755944</v>
      </c>
      <c r="N22" s="55">
        <f t="shared" si="23"/>
        <v>2300749032</v>
      </c>
      <c r="O22" s="55">
        <f>SUM(O23:O32)</f>
        <v>2116407111</v>
      </c>
      <c r="P22" s="55">
        <f>SUM(P23:P32)</f>
        <v>26659844339</v>
      </c>
      <c r="Q22" s="172">
        <f t="shared" si="1"/>
        <v>0.83057938643768903</v>
      </c>
      <c r="R22" s="156"/>
      <c r="S22" s="77"/>
      <c r="T22" s="186"/>
    </row>
    <row r="23" spans="1:21" x14ac:dyDescent="0.25">
      <c r="A23" s="36" t="s">
        <v>58</v>
      </c>
      <c r="B23" s="64">
        <v>24995167695.800762</v>
      </c>
      <c r="C23" s="123">
        <f t="shared" ref="C23:C43" si="24">+B23/12</f>
        <v>2082930641.3167303</v>
      </c>
      <c r="D23" s="64">
        <v>1579734373</v>
      </c>
      <c r="E23" s="64">
        <v>1698540590</v>
      </c>
      <c r="F23" s="64">
        <v>1707959178</v>
      </c>
      <c r="G23" s="123">
        <v>1727874278</v>
      </c>
      <c r="H23" s="123">
        <v>1761219847</v>
      </c>
      <c r="I23" s="123">
        <v>1739952022</v>
      </c>
      <c r="J23" s="123">
        <v>1706857010</v>
      </c>
      <c r="K23" s="64">
        <v>1720631885</v>
      </c>
      <c r="L23" s="78">
        <v>1768318227</v>
      </c>
      <c r="M23" s="78">
        <v>1780229025</v>
      </c>
      <c r="N23" s="78">
        <v>1753376924</v>
      </c>
      <c r="O23" s="78">
        <v>1708902422</v>
      </c>
      <c r="P23" s="78">
        <f>+D23+E23+F23+G23+H23+I23+J23+K23+L23+M23+N23+O23</f>
        <v>20653595781</v>
      </c>
      <c r="Q23" s="170">
        <f t="shared" si="1"/>
        <v>0.82630354924443439</v>
      </c>
      <c r="R23" s="156"/>
      <c r="S23" s="152"/>
      <c r="T23" s="186"/>
    </row>
    <row r="24" spans="1:21" x14ac:dyDescent="0.25">
      <c r="A24" s="36" t="s">
        <v>59</v>
      </c>
      <c r="B24" s="64">
        <v>410974383.4596833</v>
      </c>
      <c r="C24" s="123">
        <f t="shared" si="24"/>
        <v>34247865.288306944</v>
      </c>
      <c r="D24" s="64">
        <v>23281010</v>
      </c>
      <c r="E24" s="64">
        <v>24218502</v>
      </c>
      <c r="F24" s="64">
        <v>25754945</v>
      </c>
      <c r="G24" s="123">
        <v>25312241</v>
      </c>
      <c r="H24" s="123">
        <v>20195020</v>
      </c>
      <c r="I24" s="123">
        <v>21366599</v>
      </c>
      <c r="J24" s="123">
        <v>25715519</v>
      </c>
      <c r="K24" s="64">
        <v>27356127</v>
      </c>
      <c r="L24" s="78">
        <v>27837887</v>
      </c>
      <c r="M24" s="78">
        <v>31249680</v>
      </c>
      <c r="N24" s="78">
        <v>27629923</v>
      </c>
      <c r="O24" s="78">
        <v>26601292</v>
      </c>
      <c r="P24" s="78">
        <f t="shared" ref="P24:P32" si="25">+D24+E24+F24+G24+H24+I24+J24+K24+L24+M24+N24+O24</f>
        <v>306518745</v>
      </c>
      <c r="Q24" s="170">
        <f t="shared" si="1"/>
        <v>0.74583418659734924</v>
      </c>
      <c r="R24" s="156"/>
      <c r="S24" s="152"/>
    </row>
    <row r="25" spans="1:21" x14ac:dyDescent="0.25">
      <c r="A25" s="36" t="s">
        <v>60</v>
      </c>
      <c r="B25" s="64">
        <v>682605474.71062088</v>
      </c>
      <c r="C25" s="123">
        <f t="shared" si="24"/>
        <v>56883789.559218407</v>
      </c>
      <c r="D25" s="64">
        <v>39920820</v>
      </c>
      <c r="E25" s="64">
        <v>42891553</v>
      </c>
      <c r="F25" s="64">
        <v>43682530</v>
      </c>
      <c r="G25" s="123">
        <v>43801608</v>
      </c>
      <c r="H25" s="123">
        <v>44426459</v>
      </c>
      <c r="I25" s="123">
        <v>43609018</v>
      </c>
      <c r="J25" s="123">
        <v>43279679</v>
      </c>
      <c r="K25" s="64">
        <v>44705814</v>
      </c>
      <c r="L25" s="78">
        <v>45099800</v>
      </c>
      <c r="M25" s="78">
        <v>45249762</v>
      </c>
      <c r="N25" s="78">
        <v>44026544</v>
      </c>
      <c r="O25" s="78">
        <v>41735960</v>
      </c>
      <c r="P25" s="78">
        <f t="shared" si="25"/>
        <v>522429547</v>
      </c>
      <c r="Q25" s="170">
        <f t="shared" si="1"/>
        <v>0.76534625981644111</v>
      </c>
      <c r="R25" s="156"/>
      <c r="S25" s="152"/>
      <c r="T25" s="186"/>
    </row>
    <row r="26" spans="1:21" x14ac:dyDescent="0.25">
      <c r="A26" s="36" t="s">
        <v>61</v>
      </c>
      <c r="B26" s="64">
        <v>2042723717.0332642</v>
      </c>
      <c r="C26" s="123">
        <f t="shared" si="24"/>
        <v>170226976.41943869</v>
      </c>
      <c r="D26" s="78">
        <v>126505061</v>
      </c>
      <c r="E26" s="78">
        <v>133184342</v>
      </c>
      <c r="F26" s="78">
        <v>148894687</v>
      </c>
      <c r="G26" s="123">
        <v>143401198</v>
      </c>
      <c r="H26" s="123">
        <v>145904443</v>
      </c>
      <c r="I26" s="123">
        <v>145313579</v>
      </c>
      <c r="J26" s="123">
        <v>146543676</v>
      </c>
      <c r="K26" s="64">
        <v>147764562</v>
      </c>
      <c r="L26" s="78">
        <v>148327024</v>
      </c>
      <c r="M26" s="78">
        <v>148509626</v>
      </c>
      <c r="N26" s="78">
        <v>149309875</v>
      </c>
      <c r="O26" s="78">
        <v>147987198</v>
      </c>
      <c r="P26" s="78">
        <f t="shared" si="25"/>
        <v>1731645271</v>
      </c>
      <c r="Q26" s="170">
        <f t="shared" si="1"/>
        <v>0.84771389129164432</v>
      </c>
      <c r="R26" s="154"/>
      <c r="S26" s="152"/>
      <c r="T26" s="186"/>
    </row>
    <row r="27" spans="1:21" x14ac:dyDescent="0.25">
      <c r="A27" s="36" t="s">
        <v>62</v>
      </c>
      <c r="B27" s="64">
        <v>244851422.62147045</v>
      </c>
      <c r="C27" s="123">
        <f t="shared" si="24"/>
        <v>20404285.21845587</v>
      </c>
      <c r="D27" s="78">
        <v>489165</v>
      </c>
      <c r="E27" s="78">
        <v>1338031</v>
      </c>
      <c r="F27" s="78">
        <v>45957583</v>
      </c>
      <c r="G27" s="123">
        <v>17040154</v>
      </c>
      <c r="H27" s="123">
        <v>16170669</v>
      </c>
      <c r="I27" s="123">
        <v>17048157</v>
      </c>
      <c r="J27" s="123">
        <v>17060545</v>
      </c>
      <c r="K27" s="64">
        <v>17087642</v>
      </c>
      <c r="L27" s="78">
        <v>17396836</v>
      </c>
      <c r="M27" s="78">
        <v>17603059</v>
      </c>
      <c r="N27" s="78">
        <v>17694277</v>
      </c>
      <c r="O27" s="78">
        <v>17681056</v>
      </c>
      <c r="P27" s="78">
        <f t="shared" si="25"/>
        <v>202567174</v>
      </c>
      <c r="Q27" s="170">
        <f t="shared" si="1"/>
        <v>0.82730650216870483</v>
      </c>
      <c r="R27" s="154"/>
      <c r="S27" s="152"/>
    </row>
    <row r="28" spans="1:21" x14ac:dyDescent="0.25">
      <c r="A28" s="36" t="s">
        <v>63</v>
      </c>
      <c r="B28" s="64">
        <v>2042723717.0332642</v>
      </c>
      <c r="C28" s="123">
        <f t="shared" si="24"/>
        <v>170226976.41943869</v>
      </c>
      <c r="D28" s="78">
        <v>126536265</v>
      </c>
      <c r="E28" s="78">
        <v>133869741</v>
      </c>
      <c r="F28" s="78">
        <v>141920427</v>
      </c>
      <c r="G28" s="123">
        <v>143750920</v>
      </c>
      <c r="H28" s="123">
        <v>146716723</v>
      </c>
      <c r="I28" s="123">
        <v>160626254</v>
      </c>
      <c r="J28" s="123">
        <v>146531189</v>
      </c>
      <c r="K28" s="64">
        <v>148148461</v>
      </c>
      <c r="L28" s="78">
        <v>148869175</v>
      </c>
      <c r="M28" s="78">
        <v>150373980</v>
      </c>
      <c r="N28" s="78">
        <v>149165240</v>
      </c>
      <c r="O28" s="78">
        <v>0</v>
      </c>
      <c r="P28" s="78">
        <f t="shared" si="25"/>
        <v>1596508375</v>
      </c>
      <c r="Q28" s="170">
        <f t="shared" si="1"/>
        <v>0.78155864235946604</v>
      </c>
      <c r="R28" s="154"/>
      <c r="S28" s="152"/>
    </row>
    <row r="29" spans="1:21" x14ac:dyDescent="0.25">
      <c r="A29" s="36" t="s">
        <v>64</v>
      </c>
      <c r="B29" s="64">
        <v>1053319893.0355835</v>
      </c>
      <c r="C29" s="123">
        <f t="shared" si="24"/>
        <v>87776657.752965286</v>
      </c>
      <c r="D29" s="78">
        <v>93910425</v>
      </c>
      <c r="E29" s="78">
        <v>84284840</v>
      </c>
      <c r="F29" s="78">
        <v>97474281</v>
      </c>
      <c r="G29" s="123">
        <v>85818167</v>
      </c>
      <c r="H29" s="123">
        <v>88038003</v>
      </c>
      <c r="I29" s="123">
        <v>98440527</v>
      </c>
      <c r="J29" s="123">
        <v>110631792</v>
      </c>
      <c r="K29" s="64">
        <v>91118371</v>
      </c>
      <c r="L29" s="78">
        <v>85758772</v>
      </c>
      <c r="M29" s="78">
        <v>77511671</v>
      </c>
      <c r="N29" s="78">
        <v>101350648</v>
      </c>
      <c r="O29" s="78">
        <v>128501585</v>
      </c>
      <c r="P29" s="78">
        <f t="shared" si="25"/>
        <v>1142839082</v>
      </c>
      <c r="Q29" s="170">
        <f t="shared" si="1"/>
        <v>1.0849876562251468</v>
      </c>
      <c r="R29" s="154"/>
      <c r="S29" s="152"/>
    </row>
    <row r="30" spans="1:21" x14ac:dyDescent="0.25">
      <c r="A30" s="36" t="s">
        <v>65</v>
      </c>
      <c r="B30" s="64">
        <v>225009998.83999789</v>
      </c>
      <c r="C30" s="123">
        <f t="shared" si="24"/>
        <v>18750833.236666489</v>
      </c>
      <c r="D30" s="64">
        <v>23865805</v>
      </c>
      <c r="E30" s="64">
        <v>29304491</v>
      </c>
      <c r="F30" s="64">
        <v>21739643</v>
      </c>
      <c r="G30" s="123">
        <v>36579221</v>
      </c>
      <c r="H30" s="123">
        <v>28468680</v>
      </c>
      <c r="I30" s="123">
        <v>37864680</v>
      </c>
      <c r="J30" s="123">
        <v>35023611</v>
      </c>
      <c r="K30" s="64">
        <v>37928515</v>
      </c>
      <c r="L30" s="78">
        <v>38486227</v>
      </c>
      <c r="M30" s="78">
        <v>31280156</v>
      </c>
      <c r="N30" s="78">
        <v>41928460</v>
      </c>
      <c r="O30" s="78">
        <v>31629654</v>
      </c>
      <c r="P30" s="78">
        <f t="shared" si="25"/>
        <v>394099143</v>
      </c>
      <c r="Q30" s="170">
        <f t="shared" si="1"/>
        <v>1.7514739124115082</v>
      </c>
      <c r="R30" s="154"/>
      <c r="S30" s="152"/>
    </row>
    <row r="31" spans="1:21" x14ac:dyDescent="0.25">
      <c r="A31" s="36" t="s">
        <v>66</v>
      </c>
      <c r="B31" s="64">
        <v>244511959.94999999</v>
      </c>
      <c r="C31" s="123">
        <f t="shared" si="24"/>
        <v>20375996.662499998</v>
      </c>
      <c r="D31" s="64">
        <v>2560422</v>
      </c>
      <c r="E31" s="64">
        <v>0</v>
      </c>
      <c r="F31" s="64">
        <v>22557728</v>
      </c>
      <c r="G31" s="123">
        <v>0</v>
      </c>
      <c r="H31" s="123">
        <v>8082439</v>
      </c>
      <c r="I31" s="123">
        <v>6034596</v>
      </c>
      <c r="J31" s="123">
        <v>0</v>
      </c>
      <c r="K31" s="64">
        <v>18021966</v>
      </c>
      <c r="L31" s="78">
        <v>0</v>
      </c>
      <c r="M31" s="78">
        <v>22748985</v>
      </c>
      <c r="N31" s="78">
        <v>16267141</v>
      </c>
      <c r="O31" s="78">
        <v>13367944</v>
      </c>
      <c r="P31" s="78">
        <f t="shared" si="25"/>
        <v>109641221</v>
      </c>
      <c r="Q31" s="170">
        <f t="shared" si="1"/>
        <v>0.44840841741410287</v>
      </c>
      <c r="R31" s="154"/>
      <c r="S31" s="152"/>
    </row>
    <row r="32" spans="1:21" x14ac:dyDescent="0.25">
      <c r="A32" s="36" t="s">
        <v>244</v>
      </c>
      <c r="B32" s="64">
        <v>156000000</v>
      </c>
      <c r="C32" s="123">
        <f t="shared" si="24"/>
        <v>13000000</v>
      </c>
      <c r="D32" s="65">
        <v>0</v>
      </c>
      <c r="E32" s="65">
        <v>0</v>
      </c>
      <c r="F32" s="65"/>
      <c r="G32" s="123">
        <v>0</v>
      </c>
      <c r="H32" s="123">
        <v>0</v>
      </c>
      <c r="I32" s="123"/>
      <c r="J32" s="123"/>
      <c r="K32" s="64"/>
      <c r="L32" s="64"/>
      <c r="M32" s="64"/>
      <c r="N32" s="64"/>
      <c r="O32" s="78"/>
      <c r="P32" s="78">
        <f t="shared" si="25"/>
        <v>0</v>
      </c>
      <c r="Q32" s="170">
        <f t="shared" si="1"/>
        <v>0</v>
      </c>
      <c r="R32" s="154"/>
      <c r="S32" s="152"/>
    </row>
    <row r="33" spans="1:19" x14ac:dyDescent="0.25">
      <c r="A33" s="33" t="s">
        <v>34</v>
      </c>
      <c r="B33" s="55">
        <f t="shared" ref="B33:E33" si="26">SUM(B34:B36)</f>
        <v>4757007288.3973866</v>
      </c>
      <c r="C33" s="55">
        <f t="shared" si="26"/>
        <v>396417274.03311551</v>
      </c>
      <c r="D33" s="135">
        <f t="shared" si="26"/>
        <v>646776156</v>
      </c>
      <c r="E33" s="135">
        <f t="shared" si="26"/>
        <v>661266094</v>
      </c>
      <c r="F33" s="135">
        <f t="shared" ref="F33" si="27">SUM(F34:F36)</f>
        <v>692937251</v>
      </c>
      <c r="G33" s="135">
        <f t="shared" ref="G33:H33" si="28">SUM(G34:G36)</f>
        <v>680193453</v>
      </c>
      <c r="H33" s="135">
        <f t="shared" si="28"/>
        <v>704677770</v>
      </c>
      <c r="I33" s="135">
        <f t="shared" ref="I33" si="29">SUM(I34:I36)</f>
        <v>720725650</v>
      </c>
      <c r="J33" s="135">
        <f t="shared" ref="J33:K33" si="30">SUM(J34:J36)</f>
        <v>750725713</v>
      </c>
      <c r="K33" s="55">
        <f t="shared" si="30"/>
        <v>793902870</v>
      </c>
      <c r="L33" s="55">
        <f>SUM(L34:L36)</f>
        <v>869537853</v>
      </c>
      <c r="M33" s="55">
        <f>SUM(M34:M36)</f>
        <v>939953676</v>
      </c>
      <c r="N33" s="55">
        <f>SUM(N34:N36)</f>
        <v>906465368</v>
      </c>
      <c r="O33" s="55">
        <f>SUM(O34:O36)</f>
        <v>787822668</v>
      </c>
      <c r="P33" s="55">
        <f>SUM(P34:P36)</f>
        <v>9154984522</v>
      </c>
      <c r="Q33" s="172">
        <f t="shared" si="1"/>
        <v>1.924526065858577</v>
      </c>
      <c r="S33" s="77"/>
    </row>
    <row r="34" spans="1:19" x14ac:dyDescent="0.25">
      <c r="A34" s="36" t="s">
        <v>67</v>
      </c>
      <c r="B34" s="64">
        <f>6270997130.43229*0.5</f>
        <v>3135498565.216145</v>
      </c>
      <c r="C34" s="123">
        <f t="shared" si="24"/>
        <v>261291547.10134542</v>
      </c>
      <c r="D34" s="64">
        <v>103936477</v>
      </c>
      <c r="E34" s="64">
        <v>71766667</v>
      </c>
      <c r="F34" s="64">
        <v>70144607</v>
      </c>
      <c r="G34" s="123">
        <v>58758248</v>
      </c>
      <c r="H34" s="123">
        <v>64999470</v>
      </c>
      <c r="I34" s="123">
        <v>58556136</v>
      </c>
      <c r="J34" s="123">
        <v>57551664</v>
      </c>
      <c r="K34" s="64">
        <v>44144668</v>
      </c>
      <c r="L34" s="78">
        <v>64589422</v>
      </c>
      <c r="M34" s="78">
        <v>94992201</v>
      </c>
      <c r="N34" s="78">
        <v>87664923</v>
      </c>
      <c r="O34" s="78">
        <v>96779358</v>
      </c>
      <c r="P34" s="78">
        <f>+D34+E34+F34+G34+H34+I34+J34+K34+L34+M34+N34+O34</f>
        <v>873883841</v>
      </c>
      <c r="Q34" s="170">
        <f t="shared" si="1"/>
        <v>0.27870650323189</v>
      </c>
      <c r="R34" s="154"/>
      <c r="S34" s="152"/>
    </row>
    <row r="35" spans="1:19" x14ac:dyDescent="0.25">
      <c r="A35" s="36" t="s">
        <v>68</v>
      </c>
      <c r="B35" s="64">
        <v>1621508723.1812413</v>
      </c>
      <c r="C35" s="123">
        <f t="shared" si="24"/>
        <v>135125726.93177012</v>
      </c>
      <c r="D35" s="64">
        <v>40927868</v>
      </c>
      <c r="E35" s="64">
        <v>13398320</v>
      </c>
      <c r="F35" s="64">
        <v>20738000</v>
      </c>
      <c r="G35" s="123">
        <v>8767006</v>
      </c>
      <c r="H35" s="123">
        <v>12100000</v>
      </c>
      <c r="I35" s="123">
        <v>5300000</v>
      </c>
      <c r="J35" s="123">
        <v>5200000</v>
      </c>
      <c r="K35" s="64">
        <v>3716665</v>
      </c>
      <c r="L35" s="78">
        <v>3400000</v>
      </c>
      <c r="M35" s="78">
        <v>3800000</v>
      </c>
      <c r="N35" s="78">
        <v>1900000</v>
      </c>
      <c r="O35" s="78">
        <v>1900000</v>
      </c>
      <c r="P35" s="78">
        <f t="shared" ref="P35:P36" si="31">+D35+E35+F35+G35+H35+I35+J35+K35+L35+M35+N35+O35</f>
        <v>121147859</v>
      </c>
      <c r="Q35" s="170">
        <f>+P35/((B35/12)*12)</f>
        <v>7.4713047958397505E-2</v>
      </c>
      <c r="R35" s="154"/>
      <c r="S35" s="152"/>
    </row>
    <row r="36" spans="1:19" x14ac:dyDescent="0.25">
      <c r="A36" s="36" t="s">
        <v>69</v>
      </c>
      <c r="B36" s="64">
        <v>0</v>
      </c>
      <c r="C36" s="123">
        <f t="shared" si="24"/>
        <v>0</v>
      </c>
      <c r="D36" s="78">
        <v>501911811</v>
      </c>
      <c r="E36" s="78">
        <v>576101107</v>
      </c>
      <c r="F36" s="78">
        <v>602054644</v>
      </c>
      <c r="G36" s="123">
        <v>612668199</v>
      </c>
      <c r="H36" s="123">
        <v>627578300</v>
      </c>
      <c r="I36" s="123">
        <v>656869514</v>
      </c>
      <c r="J36" s="123">
        <v>687974049</v>
      </c>
      <c r="K36" s="64">
        <v>746041537</v>
      </c>
      <c r="L36" s="78">
        <v>801548431</v>
      </c>
      <c r="M36" s="78">
        <v>841161475</v>
      </c>
      <c r="N36" s="78">
        <v>816900445</v>
      </c>
      <c r="O36" s="78">
        <v>689143310</v>
      </c>
      <c r="P36" s="78">
        <f t="shared" si="31"/>
        <v>8159952822</v>
      </c>
      <c r="Q36" s="170"/>
      <c r="R36" s="154"/>
      <c r="S36" s="152"/>
    </row>
    <row r="37" spans="1:19" x14ac:dyDescent="0.25">
      <c r="A37" s="56" t="s">
        <v>35</v>
      </c>
      <c r="B37" s="57">
        <f t="shared" ref="B37:E37" si="32">SUM(B38:B43)</f>
        <v>7786794985.5896358</v>
      </c>
      <c r="C37" s="57">
        <f t="shared" si="32"/>
        <v>648899582.13246965</v>
      </c>
      <c r="D37" s="136">
        <f t="shared" si="32"/>
        <v>527769432</v>
      </c>
      <c r="E37" s="136">
        <f t="shared" si="32"/>
        <v>539120650</v>
      </c>
      <c r="F37" s="136">
        <f t="shared" ref="F37" si="33">SUM(F38:F43)</f>
        <v>546983648</v>
      </c>
      <c r="G37" s="136">
        <f t="shared" ref="G37:H37" si="34">SUM(G38:G43)</f>
        <v>553539244</v>
      </c>
      <c r="H37" s="136">
        <f t="shared" si="34"/>
        <v>561572756</v>
      </c>
      <c r="I37" s="136">
        <f t="shared" ref="I37" si="35">SUM(I38:I43)</f>
        <v>561868625</v>
      </c>
      <c r="J37" s="136">
        <f t="shared" ref="J37:N37" si="36">SUM(J38:J43)</f>
        <v>561266574</v>
      </c>
      <c r="K37" s="57">
        <f t="shared" si="36"/>
        <v>566165397</v>
      </c>
      <c r="L37" s="57">
        <f t="shared" si="36"/>
        <v>571255742</v>
      </c>
      <c r="M37" s="57">
        <f t="shared" si="36"/>
        <v>573858313</v>
      </c>
      <c r="N37" s="57">
        <f t="shared" si="36"/>
        <v>573577302</v>
      </c>
      <c r="O37" s="57">
        <f>SUM(O38:O43)</f>
        <v>582958069</v>
      </c>
      <c r="P37" s="57">
        <f>SUM(P38:P43)</f>
        <v>6719935752</v>
      </c>
      <c r="Q37" s="173">
        <f t="shared" ref="Q37:Q68" si="37">+P37/((B37/12)*12)</f>
        <v>0.86299122609957213</v>
      </c>
      <c r="S37" s="152"/>
    </row>
    <row r="38" spans="1:19" x14ac:dyDescent="0.25">
      <c r="A38" s="36" t="s">
        <v>70</v>
      </c>
      <c r="B38" s="64">
        <v>999646712.24298859</v>
      </c>
      <c r="C38" s="123">
        <f t="shared" si="24"/>
        <v>83303892.686915711</v>
      </c>
      <c r="D38" s="78">
        <v>67269500</v>
      </c>
      <c r="E38" s="78">
        <v>69695900</v>
      </c>
      <c r="F38" s="78">
        <v>71211500</v>
      </c>
      <c r="G38" s="123">
        <v>71252900</v>
      </c>
      <c r="H38" s="123">
        <v>72882600</v>
      </c>
      <c r="I38" s="123">
        <v>72786200</v>
      </c>
      <c r="J38" s="123">
        <v>72958200</v>
      </c>
      <c r="K38" s="64">
        <v>72743500</v>
      </c>
      <c r="L38" s="78">
        <v>73617800</v>
      </c>
      <c r="M38" s="78">
        <v>74561300</v>
      </c>
      <c r="N38" s="78">
        <v>74568800</v>
      </c>
      <c r="O38" s="78">
        <v>78051500</v>
      </c>
      <c r="P38" s="78">
        <f>+D38+E38+F38+G38+H38+I38+J38+K38+L38+M38+N38+O38</f>
        <v>871599700</v>
      </c>
      <c r="Q38" s="170">
        <f t="shared" si="37"/>
        <v>0.87190773432778157</v>
      </c>
      <c r="R38" s="154"/>
      <c r="S38" s="152"/>
    </row>
    <row r="39" spans="1:19" x14ac:dyDescent="0.25">
      <c r="A39" s="36" t="s">
        <v>71</v>
      </c>
      <c r="B39" s="64">
        <v>749735034.18224132</v>
      </c>
      <c r="C39" s="123">
        <f t="shared" si="24"/>
        <v>62477919.515186779</v>
      </c>
      <c r="D39" s="78">
        <v>50466900</v>
      </c>
      <c r="E39" s="78">
        <v>52286300</v>
      </c>
      <c r="F39" s="78">
        <v>53423400</v>
      </c>
      <c r="G39" s="123">
        <v>53455000</v>
      </c>
      <c r="H39" s="123">
        <v>54676400</v>
      </c>
      <c r="I39" s="123">
        <v>54604300</v>
      </c>
      <c r="J39" s="123">
        <v>54735100</v>
      </c>
      <c r="K39" s="64">
        <v>54572600</v>
      </c>
      <c r="L39" s="78">
        <v>55230100</v>
      </c>
      <c r="M39" s="78">
        <v>55937100</v>
      </c>
      <c r="N39" s="78">
        <v>55942200</v>
      </c>
      <c r="O39" s="78">
        <v>58559600</v>
      </c>
      <c r="P39" s="78">
        <f t="shared" ref="P39:P43" si="38">+D39+E39+F39+G39+H39+I39+J39+K39+L39+M39+N39+O39</f>
        <v>653889000</v>
      </c>
      <c r="Q39" s="170">
        <f t="shared" si="37"/>
        <v>0.87216012349378402</v>
      </c>
      <c r="R39" s="154"/>
      <c r="S39" s="152"/>
    </row>
    <row r="40" spans="1:19" x14ac:dyDescent="0.25">
      <c r="A40" s="36" t="s">
        <v>72</v>
      </c>
      <c r="B40" s="64">
        <v>499823356.12149429</v>
      </c>
      <c r="C40" s="123">
        <f t="shared" si="24"/>
        <v>41651946.343457855</v>
      </c>
      <c r="D40" s="78">
        <v>33664800</v>
      </c>
      <c r="E40" s="78">
        <v>34878000</v>
      </c>
      <c r="F40" s="78">
        <v>35635900</v>
      </c>
      <c r="G40" s="123">
        <v>35657000</v>
      </c>
      <c r="H40" s="123">
        <v>36471200</v>
      </c>
      <c r="I40" s="123">
        <v>36423200</v>
      </c>
      <c r="J40" s="123">
        <v>36512100</v>
      </c>
      <c r="K40" s="64">
        <v>36403700</v>
      </c>
      <c r="L40" s="78">
        <v>36841200</v>
      </c>
      <c r="M40" s="78">
        <v>37311700</v>
      </c>
      <c r="N40" s="78">
        <v>37315900</v>
      </c>
      <c r="O40" s="78">
        <v>39059400</v>
      </c>
      <c r="P40" s="78">
        <f t="shared" si="38"/>
        <v>436174100</v>
      </c>
      <c r="Q40" s="170">
        <f t="shared" si="37"/>
        <v>0.87265649885712271</v>
      </c>
      <c r="R40" s="154"/>
      <c r="S40" s="152"/>
    </row>
    <row r="41" spans="1:19" x14ac:dyDescent="0.25">
      <c r="A41" s="36" t="s">
        <v>73</v>
      </c>
      <c r="B41" s="64">
        <v>2177868045.5185719</v>
      </c>
      <c r="C41" s="123">
        <f t="shared" si="24"/>
        <v>181489003.79321432</v>
      </c>
      <c r="D41" s="78">
        <v>149055880</v>
      </c>
      <c r="E41" s="78">
        <v>150825100</v>
      </c>
      <c r="F41" s="78">
        <v>152565148</v>
      </c>
      <c r="G41" s="123">
        <v>154952744</v>
      </c>
      <c r="H41" s="123">
        <v>156248256</v>
      </c>
      <c r="I41" s="123">
        <v>156802952</v>
      </c>
      <c r="J41" s="123">
        <v>157053224</v>
      </c>
      <c r="K41" s="64">
        <v>159271452</v>
      </c>
      <c r="L41" s="78">
        <v>160179296</v>
      </c>
      <c r="M41" s="78">
        <v>160632106</v>
      </c>
      <c r="N41" s="78">
        <v>160476752</v>
      </c>
      <c r="O41" s="78">
        <v>161369053</v>
      </c>
      <c r="P41" s="78">
        <f t="shared" si="38"/>
        <v>1879431963</v>
      </c>
      <c r="Q41" s="170">
        <f t="shared" si="37"/>
        <v>0.86296870320831987</v>
      </c>
      <c r="R41" s="154"/>
      <c r="S41" s="152"/>
    </row>
    <row r="42" spans="1:19" x14ac:dyDescent="0.25">
      <c r="A42" s="36" t="s">
        <v>74</v>
      </c>
      <c r="B42" s="64">
        <v>2998940136.7289653</v>
      </c>
      <c r="C42" s="123">
        <f t="shared" si="24"/>
        <v>249911678.06074712</v>
      </c>
      <c r="D42" s="78">
        <v>206249252</v>
      </c>
      <c r="E42" s="78">
        <v>208644750</v>
      </c>
      <c r="F42" s="78">
        <v>210814100</v>
      </c>
      <c r="G42" s="123">
        <v>214360800</v>
      </c>
      <c r="H42" s="123">
        <v>216905100</v>
      </c>
      <c r="I42" s="123">
        <v>217085573</v>
      </c>
      <c r="J42" s="123">
        <v>216773550</v>
      </c>
      <c r="K42" s="64">
        <v>219449645</v>
      </c>
      <c r="L42" s="78">
        <v>220627246</v>
      </c>
      <c r="M42" s="78">
        <v>220977607</v>
      </c>
      <c r="N42" s="78">
        <v>221516050</v>
      </c>
      <c r="O42" s="78">
        <v>222479116</v>
      </c>
      <c r="P42" s="78">
        <f t="shared" si="38"/>
        <v>2595882789</v>
      </c>
      <c r="Q42" s="170">
        <f t="shared" si="37"/>
        <v>0.86560006890681318</v>
      </c>
      <c r="R42" s="154"/>
      <c r="S42" s="152"/>
    </row>
    <row r="43" spans="1:19" x14ac:dyDescent="0.25">
      <c r="A43" s="36" t="s">
        <v>256</v>
      </c>
      <c r="B43" s="64">
        <v>360781700.79537416</v>
      </c>
      <c r="C43" s="123">
        <f t="shared" si="24"/>
        <v>30065141.732947845</v>
      </c>
      <c r="D43" s="78">
        <v>21063100</v>
      </c>
      <c r="E43" s="78">
        <v>22790600</v>
      </c>
      <c r="F43" s="78">
        <v>23333600</v>
      </c>
      <c r="G43" s="123">
        <v>23860800</v>
      </c>
      <c r="H43" s="123">
        <v>24389200</v>
      </c>
      <c r="I43" s="123">
        <v>24166400</v>
      </c>
      <c r="J43" s="123">
        <v>23234400</v>
      </c>
      <c r="K43" s="64">
        <v>23724500</v>
      </c>
      <c r="L43" s="78">
        <v>24760100</v>
      </c>
      <c r="M43" s="78">
        <v>24438500</v>
      </c>
      <c r="N43" s="78">
        <v>23757600</v>
      </c>
      <c r="O43" s="78">
        <v>23439400</v>
      </c>
      <c r="P43" s="78">
        <f t="shared" si="38"/>
        <v>282958200</v>
      </c>
      <c r="Q43" s="170">
        <f t="shared" si="37"/>
        <v>0.78429199534287475</v>
      </c>
      <c r="R43" s="154"/>
      <c r="S43" s="152"/>
    </row>
    <row r="44" spans="1:19" ht="15.75" x14ac:dyDescent="0.25">
      <c r="A44" s="52" t="s">
        <v>36</v>
      </c>
      <c r="B44" s="52">
        <f>+B45+B59</f>
        <v>29263550587.584335</v>
      </c>
      <c r="C44" s="52">
        <f>+C45+C59</f>
        <v>2438629215.6320281</v>
      </c>
      <c r="D44" s="134">
        <f t="shared" ref="D44:E44" si="39">+D45+D59</f>
        <v>1576247820</v>
      </c>
      <c r="E44" s="134">
        <f t="shared" si="39"/>
        <v>1778720328</v>
      </c>
      <c r="F44" s="134">
        <f t="shared" ref="F44" si="40">+F45+F59</f>
        <v>1684341975</v>
      </c>
      <c r="G44" s="134">
        <f t="shared" ref="G44:H44" si="41">+G45+G59</f>
        <v>1644856766</v>
      </c>
      <c r="H44" s="134">
        <f t="shared" si="41"/>
        <v>2007142071</v>
      </c>
      <c r="I44" s="134">
        <f t="shared" ref="I44" si="42">+I45+I59</f>
        <v>1870309651</v>
      </c>
      <c r="J44" s="134">
        <f t="shared" ref="J44:K44" si="43">+J45+J59</f>
        <v>2276922959</v>
      </c>
      <c r="K44" s="52">
        <f t="shared" si="43"/>
        <v>2384388768</v>
      </c>
      <c r="L44" s="52">
        <f>+L45+L59</f>
        <v>2056575403</v>
      </c>
      <c r="M44" s="52">
        <f>+M45+M59</f>
        <v>2690846759</v>
      </c>
      <c r="N44" s="52">
        <f>+N45+N59</f>
        <v>2154064691</v>
      </c>
      <c r="O44" s="52">
        <f>+O45+O59</f>
        <v>3092203843</v>
      </c>
      <c r="P44" s="52">
        <f>+P45+P59</f>
        <v>25271093711</v>
      </c>
      <c r="Q44" s="171">
        <f t="shared" si="37"/>
        <v>0.86356895194125149</v>
      </c>
      <c r="R44" s="154"/>
      <c r="S44" s="77"/>
    </row>
    <row r="45" spans="1:19" x14ac:dyDescent="0.25">
      <c r="A45" s="58" t="s">
        <v>37</v>
      </c>
      <c r="B45" s="58">
        <f>+B46+B52+B54</f>
        <v>1256688735.9730828</v>
      </c>
      <c r="C45" s="58">
        <f>+C46+C52+C54</f>
        <v>104724061.33109024</v>
      </c>
      <c r="D45" s="135">
        <f t="shared" ref="D45:E45" si="44">+D46+D52+D54</f>
        <v>47105045</v>
      </c>
      <c r="E45" s="135">
        <f t="shared" si="44"/>
        <v>40252272</v>
      </c>
      <c r="F45" s="135">
        <f t="shared" ref="F45" si="45">+F46+F52+F54</f>
        <v>51275434</v>
      </c>
      <c r="G45" s="135">
        <f t="shared" ref="G45:H45" si="46">+G46+G52+G54</f>
        <v>63654301</v>
      </c>
      <c r="H45" s="135">
        <f t="shared" si="46"/>
        <v>129780150</v>
      </c>
      <c r="I45" s="135">
        <f t="shared" ref="I45" si="47">+I46+I52+I54</f>
        <v>52541013</v>
      </c>
      <c r="J45" s="135">
        <f t="shared" ref="J45:M45" si="48">+J46+J52+J54</f>
        <v>62811407</v>
      </c>
      <c r="K45" s="58">
        <f t="shared" si="48"/>
        <v>106899581</v>
      </c>
      <c r="L45" s="58">
        <f t="shared" si="48"/>
        <v>179861994</v>
      </c>
      <c r="M45" s="58">
        <f t="shared" si="48"/>
        <v>61059668</v>
      </c>
      <c r="N45" s="58">
        <f>+N46+N52+N54</f>
        <v>0</v>
      </c>
      <c r="O45" s="58">
        <f>+O46+O52+O54</f>
        <v>102841225</v>
      </c>
      <c r="P45" s="58">
        <f>+P46+P52+P54</f>
        <v>952554767</v>
      </c>
      <c r="Q45" s="172">
        <f t="shared" si="37"/>
        <v>0.75798782923156793</v>
      </c>
    </row>
    <row r="46" spans="1:19" x14ac:dyDescent="0.25">
      <c r="A46" s="48" t="s">
        <v>75</v>
      </c>
      <c r="B46" s="64">
        <f>SUM(B47:B51)</f>
        <v>326276749.71188009</v>
      </c>
      <c r="C46" s="123">
        <f t="shared" ref="C46:C51" si="49">+B46/12</f>
        <v>27189729.142656673</v>
      </c>
      <c r="D46" s="64">
        <v>0</v>
      </c>
      <c r="E46" s="64">
        <v>0</v>
      </c>
      <c r="F46" s="64">
        <v>0</v>
      </c>
      <c r="G46" s="64">
        <v>0</v>
      </c>
      <c r="H46" s="64"/>
      <c r="I46" s="64"/>
      <c r="J46" s="64"/>
      <c r="K46" s="64"/>
      <c r="L46" s="64"/>
      <c r="M46" s="64"/>
      <c r="N46" s="78"/>
      <c r="O46" s="78"/>
      <c r="P46" s="64">
        <f>+D46+E46+F46+G46+H46+I46+J46+K46+L46+M46+N46+O46</f>
        <v>0</v>
      </c>
      <c r="Q46" s="170">
        <f t="shared" si="37"/>
        <v>0</v>
      </c>
    </row>
    <row r="47" spans="1:19" x14ac:dyDescent="0.25">
      <c r="A47" s="36" t="s">
        <v>76</v>
      </c>
      <c r="B47" s="64">
        <v>118032932.71230805</v>
      </c>
      <c r="C47" s="123">
        <f t="shared" si="49"/>
        <v>9836077.7260256708</v>
      </c>
      <c r="D47" s="64">
        <v>0</v>
      </c>
      <c r="E47" s="64">
        <v>0</v>
      </c>
      <c r="F47" s="64">
        <v>0</v>
      </c>
      <c r="G47" s="64">
        <v>0</v>
      </c>
      <c r="H47" s="64"/>
      <c r="I47" s="64"/>
      <c r="J47" s="64"/>
      <c r="K47" s="64"/>
      <c r="L47" s="64"/>
      <c r="M47" s="64"/>
      <c r="N47" s="78"/>
      <c r="O47" s="78"/>
      <c r="P47" s="64">
        <f t="shared" ref="P47:P51" si="50">+D47+E47+F47+G47+H47+I47+J47+K47+L47+M47+N47+O47</f>
        <v>0</v>
      </c>
      <c r="Q47" s="170">
        <f t="shared" si="37"/>
        <v>0</v>
      </c>
    </row>
    <row r="48" spans="1:19" x14ac:dyDescent="0.25">
      <c r="A48" s="36" t="s">
        <v>77</v>
      </c>
      <c r="B48" s="64">
        <v>21077309.41291216</v>
      </c>
      <c r="C48" s="123">
        <f t="shared" si="49"/>
        <v>1756442.4510760133</v>
      </c>
      <c r="D48" s="64">
        <v>0</v>
      </c>
      <c r="E48" s="64">
        <v>0</v>
      </c>
      <c r="F48" s="64">
        <v>0</v>
      </c>
      <c r="G48" s="64">
        <v>0</v>
      </c>
      <c r="H48" s="64"/>
      <c r="I48" s="64"/>
      <c r="J48" s="64"/>
      <c r="K48" s="64"/>
      <c r="L48" s="64"/>
      <c r="M48" s="64"/>
      <c r="N48" s="78"/>
      <c r="O48" s="78"/>
      <c r="P48" s="64">
        <f t="shared" si="50"/>
        <v>0</v>
      </c>
      <c r="Q48" s="170">
        <f t="shared" si="37"/>
        <v>0</v>
      </c>
    </row>
    <row r="49" spans="1:19" x14ac:dyDescent="0.25">
      <c r="A49" s="36" t="s">
        <v>78</v>
      </c>
      <c r="B49" s="64">
        <v>31194417.93110998</v>
      </c>
      <c r="C49" s="123">
        <f t="shared" si="49"/>
        <v>2599534.8275924982</v>
      </c>
      <c r="D49" s="64">
        <v>0</v>
      </c>
      <c r="E49" s="64">
        <v>0</v>
      </c>
      <c r="F49" s="64">
        <v>0</v>
      </c>
      <c r="G49" s="64">
        <v>0</v>
      </c>
      <c r="H49" s="64"/>
      <c r="I49" s="64"/>
      <c r="J49" s="64"/>
      <c r="K49" s="64"/>
      <c r="L49" s="64"/>
      <c r="M49" s="64"/>
      <c r="N49" s="78"/>
      <c r="O49" s="78"/>
      <c r="P49" s="64">
        <f t="shared" si="50"/>
        <v>0</v>
      </c>
      <c r="Q49" s="170">
        <f t="shared" si="37"/>
        <v>0</v>
      </c>
    </row>
    <row r="50" spans="1:19" x14ac:dyDescent="0.25">
      <c r="A50" s="36" t="s">
        <v>79</v>
      </c>
      <c r="B50" s="64">
        <v>139110242.12522021</v>
      </c>
      <c r="C50" s="123">
        <f t="shared" si="49"/>
        <v>11592520.177101685</v>
      </c>
      <c r="D50" s="64">
        <v>0</v>
      </c>
      <c r="E50" s="64">
        <v>0</v>
      </c>
      <c r="F50" s="64">
        <v>0</v>
      </c>
      <c r="G50" s="64">
        <v>0</v>
      </c>
      <c r="H50" s="64"/>
      <c r="I50" s="64"/>
      <c r="J50" s="64"/>
      <c r="K50" s="64"/>
      <c r="L50" s="64"/>
      <c r="M50" s="64"/>
      <c r="N50" s="78"/>
      <c r="O50" s="78"/>
      <c r="P50" s="64">
        <f t="shared" si="50"/>
        <v>0</v>
      </c>
      <c r="Q50" s="170">
        <f t="shared" si="37"/>
        <v>0</v>
      </c>
    </row>
    <row r="51" spans="1:19" x14ac:dyDescent="0.25">
      <c r="A51" s="36" t="s">
        <v>80</v>
      </c>
      <c r="B51" s="64">
        <v>16861847.530329719</v>
      </c>
      <c r="C51" s="123">
        <f t="shared" si="49"/>
        <v>1405153.96086081</v>
      </c>
      <c r="D51" s="78">
        <v>0</v>
      </c>
      <c r="E51" s="78">
        <v>0</v>
      </c>
      <c r="F51" s="78">
        <v>0</v>
      </c>
      <c r="G51" s="78">
        <v>0</v>
      </c>
      <c r="H51" s="78"/>
      <c r="I51" s="78"/>
      <c r="J51" s="78"/>
      <c r="K51" s="64"/>
      <c r="L51" s="64"/>
      <c r="M51" s="64"/>
      <c r="N51" s="78"/>
      <c r="O51" s="78"/>
      <c r="P51" s="64">
        <f t="shared" si="50"/>
        <v>0</v>
      </c>
      <c r="Q51" s="170">
        <f t="shared" si="37"/>
        <v>0</v>
      </c>
    </row>
    <row r="52" spans="1:19" x14ac:dyDescent="0.25">
      <c r="A52" s="48" t="s">
        <v>81</v>
      </c>
      <c r="B52" s="48">
        <f>SUM(B53)</f>
        <v>309583520.65685368</v>
      </c>
      <c r="C52" s="48">
        <f>SUM(C53)</f>
        <v>25798626.721404474</v>
      </c>
      <c r="D52" s="124">
        <f t="shared" ref="D52:K52" si="51">SUM(D53)</f>
        <v>10852025</v>
      </c>
      <c r="E52" s="124">
        <f t="shared" si="51"/>
        <v>0</v>
      </c>
      <c r="F52" s="124">
        <f t="shared" si="51"/>
        <v>0</v>
      </c>
      <c r="G52" s="124">
        <f t="shared" si="51"/>
        <v>0</v>
      </c>
      <c r="H52" s="124">
        <f t="shared" si="51"/>
        <v>74607444</v>
      </c>
      <c r="I52" s="124">
        <f t="shared" si="51"/>
        <v>1603982</v>
      </c>
      <c r="J52" s="124">
        <f t="shared" si="51"/>
        <v>7215459</v>
      </c>
      <c r="K52" s="48">
        <f t="shared" si="51"/>
        <v>22191957</v>
      </c>
      <c r="L52" s="48">
        <f>SUM(L53)</f>
        <v>111302301</v>
      </c>
      <c r="M52" s="48">
        <f>SUM(M53)</f>
        <v>6504125</v>
      </c>
      <c r="N52" s="48">
        <f>SUM(N53)</f>
        <v>0</v>
      </c>
      <c r="O52" s="48">
        <f>SUM(O53)</f>
        <v>26982456</v>
      </c>
      <c r="P52" s="48">
        <f>SUM(P53)</f>
        <v>261259749</v>
      </c>
      <c r="Q52" s="174">
        <f t="shared" si="37"/>
        <v>0.84390715773784242</v>
      </c>
    </row>
    <row r="53" spans="1:19" x14ac:dyDescent="0.25">
      <c r="A53" s="36" t="s">
        <v>82</v>
      </c>
      <c r="B53" s="64">
        <v>309583520.65685368</v>
      </c>
      <c r="C53" s="123">
        <f t="shared" ref="C53" si="52">+B53/12</f>
        <v>25798626.721404474</v>
      </c>
      <c r="D53" s="64">
        <v>10852025</v>
      </c>
      <c r="E53" s="64">
        <v>0</v>
      </c>
      <c r="F53" s="64"/>
      <c r="G53" s="64">
        <v>0</v>
      </c>
      <c r="H53" s="64">
        <v>74607444</v>
      </c>
      <c r="I53" s="64">
        <v>1603982</v>
      </c>
      <c r="J53" s="64">
        <v>7215459</v>
      </c>
      <c r="K53" s="64">
        <v>22191957</v>
      </c>
      <c r="L53" s="78">
        <v>111302301</v>
      </c>
      <c r="M53" s="78">
        <v>6504125</v>
      </c>
      <c r="N53" s="78">
        <v>0</v>
      </c>
      <c r="O53" s="78">
        <v>26982456</v>
      </c>
      <c r="P53" s="78">
        <f>+D53+E53+F53+G53+H53+I53+J53+K53+L53+M53+N53+O53</f>
        <v>261259749</v>
      </c>
      <c r="Q53" s="170">
        <f t="shared" si="37"/>
        <v>0.84390715773784242</v>
      </c>
      <c r="R53" s="154"/>
      <c r="S53" s="152"/>
    </row>
    <row r="54" spans="1:19" x14ac:dyDescent="0.25">
      <c r="A54" s="48" t="s">
        <v>83</v>
      </c>
      <c r="B54" s="48">
        <f>SUM(B55:B58)</f>
        <v>620828465.60434902</v>
      </c>
      <c r="C54" s="48">
        <f>SUM(C55:C58)</f>
        <v>51735705.467029087</v>
      </c>
      <c r="D54" s="124">
        <f t="shared" ref="D54:E54" si="53">SUM(D55:D58)</f>
        <v>36253020</v>
      </c>
      <c r="E54" s="124">
        <f t="shared" si="53"/>
        <v>40252272</v>
      </c>
      <c r="F54" s="124">
        <f t="shared" ref="F54" si="54">SUM(F55:F58)</f>
        <v>51275434</v>
      </c>
      <c r="G54" s="124">
        <f t="shared" ref="G54:H54" si="55">SUM(G55:G58)</f>
        <v>63654301</v>
      </c>
      <c r="H54" s="124">
        <f t="shared" si="55"/>
        <v>55172706</v>
      </c>
      <c r="I54" s="124">
        <f t="shared" ref="I54" si="56">SUM(I55:I58)</f>
        <v>50937031</v>
      </c>
      <c r="J54" s="124">
        <f t="shared" ref="J54:M54" si="57">SUM(J55:J58)</f>
        <v>55595948</v>
      </c>
      <c r="K54" s="48">
        <f t="shared" si="57"/>
        <v>84707624</v>
      </c>
      <c r="L54" s="48">
        <f t="shared" si="57"/>
        <v>68559693</v>
      </c>
      <c r="M54" s="48">
        <f t="shared" si="57"/>
        <v>54555543</v>
      </c>
      <c r="N54" s="48"/>
      <c r="O54" s="48">
        <f>SUM(O55:O58)</f>
        <v>75858769</v>
      </c>
      <c r="P54" s="48">
        <f>SUM(P55:P58)</f>
        <v>691295018</v>
      </c>
      <c r="Q54" s="174">
        <f t="shared" si="37"/>
        <v>1.1135040615881795</v>
      </c>
    </row>
    <row r="55" spans="1:19" x14ac:dyDescent="0.25">
      <c r="A55" s="36" t="s">
        <v>151</v>
      </c>
      <c r="B55" s="64">
        <v>288961631.74114954</v>
      </c>
      <c r="C55" s="123">
        <f t="shared" ref="C55:C58" si="58">+B55/12</f>
        <v>24080135.978429127</v>
      </c>
      <c r="D55" s="64">
        <v>8214006</v>
      </c>
      <c r="E55" s="64">
        <v>11308012</v>
      </c>
      <c r="F55" s="64">
        <v>23645787</v>
      </c>
      <c r="G55" s="64">
        <v>15983222</v>
      </c>
      <c r="H55" s="64">
        <v>15957175</v>
      </c>
      <c r="I55" s="64">
        <v>8826009</v>
      </c>
      <c r="J55" s="64">
        <v>8342246</v>
      </c>
      <c r="K55" s="64">
        <v>18816630</v>
      </c>
      <c r="L55" s="78">
        <v>17640264</v>
      </c>
      <c r="M55" s="78">
        <v>13267553</v>
      </c>
      <c r="N55" s="78">
        <v>15519780</v>
      </c>
      <c r="O55" s="78">
        <v>16735160</v>
      </c>
      <c r="P55" s="78">
        <f>+D55+E55+F55+G55+H55+I55+J55+K55+L55+M55+N55+O55</f>
        <v>174255844</v>
      </c>
      <c r="Q55" s="170">
        <f t="shared" si="37"/>
        <v>0.60304145899929562</v>
      </c>
      <c r="R55" s="154"/>
      <c r="S55" s="152"/>
    </row>
    <row r="56" spans="1:19" x14ac:dyDescent="0.25">
      <c r="A56" s="36" t="s">
        <v>84</v>
      </c>
      <c r="B56" s="64">
        <v>103278816.12326954</v>
      </c>
      <c r="C56" s="123">
        <f t="shared" si="58"/>
        <v>8606568.0102724619</v>
      </c>
      <c r="D56" s="64">
        <v>20107349</v>
      </c>
      <c r="E56" s="64">
        <v>8300307</v>
      </c>
      <c r="F56" s="64">
        <v>12205069</v>
      </c>
      <c r="G56" s="64">
        <v>30668293</v>
      </c>
      <c r="H56" s="64">
        <v>22912130</v>
      </c>
      <c r="I56" s="64">
        <v>16997478</v>
      </c>
      <c r="J56" s="64">
        <v>26116211</v>
      </c>
      <c r="K56" s="64">
        <v>44061342</v>
      </c>
      <c r="L56" s="78">
        <v>35168376</v>
      </c>
      <c r="M56" s="78">
        <v>21633703</v>
      </c>
      <c r="N56" s="78">
        <v>13990129</v>
      </c>
      <c r="O56" s="78">
        <v>36501210</v>
      </c>
      <c r="P56" s="78">
        <f t="shared" ref="P56:P58" si="59">+D56+E56+F56+G56+H56+I56+J56+K56+L56+M56+N56+O56</f>
        <v>288661597</v>
      </c>
      <c r="Q56" s="170">
        <f t="shared" si="37"/>
        <v>2.794973914645428</v>
      </c>
      <c r="R56" s="154"/>
      <c r="S56" s="152"/>
    </row>
    <row r="57" spans="1:19" x14ac:dyDescent="0.25">
      <c r="A57" s="36" t="s">
        <v>85</v>
      </c>
      <c r="B57" s="64">
        <v>158588017.73992991</v>
      </c>
      <c r="C57" s="123">
        <f t="shared" si="58"/>
        <v>13215668.14499416</v>
      </c>
      <c r="D57" s="64">
        <v>7931665</v>
      </c>
      <c r="E57" s="64">
        <v>20643953</v>
      </c>
      <c r="F57" s="64">
        <v>15424578</v>
      </c>
      <c r="G57" s="64">
        <v>17002786</v>
      </c>
      <c r="H57" s="64">
        <v>16303401</v>
      </c>
      <c r="I57" s="64">
        <v>25113544</v>
      </c>
      <c r="J57" s="64">
        <v>21137491</v>
      </c>
      <c r="K57" s="64">
        <v>21829652</v>
      </c>
      <c r="L57" s="78">
        <v>15751053</v>
      </c>
      <c r="M57" s="78">
        <v>19654287</v>
      </c>
      <c r="N57" s="78">
        <v>24962768</v>
      </c>
      <c r="O57" s="78">
        <v>22622399</v>
      </c>
      <c r="P57" s="78">
        <f t="shared" si="59"/>
        <v>228377577</v>
      </c>
      <c r="Q57" s="170">
        <f t="shared" si="37"/>
        <v>1.4400682993245977</v>
      </c>
      <c r="R57" s="154"/>
      <c r="S57" s="152"/>
    </row>
    <row r="58" spans="1:19" x14ac:dyDescent="0.25">
      <c r="A58" s="88" t="s">
        <v>86</v>
      </c>
      <c r="B58" s="64">
        <v>70000000</v>
      </c>
      <c r="C58" s="123">
        <f t="shared" si="58"/>
        <v>5833333.333333333</v>
      </c>
      <c r="D58" s="78">
        <v>0</v>
      </c>
      <c r="E58" s="78"/>
      <c r="F58" s="78">
        <v>0</v>
      </c>
      <c r="G58" s="78"/>
      <c r="H58" s="78"/>
      <c r="I58" s="78"/>
      <c r="J58" s="78"/>
      <c r="K58" s="64"/>
      <c r="L58" s="64"/>
      <c r="M58" s="64"/>
      <c r="N58" s="78"/>
      <c r="O58" s="78"/>
      <c r="P58" s="78">
        <f t="shared" si="59"/>
        <v>0</v>
      </c>
      <c r="Q58" s="170">
        <f t="shared" si="37"/>
        <v>0</v>
      </c>
      <c r="R58" s="154"/>
    </row>
    <row r="59" spans="1:19" x14ac:dyDescent="0.25">
      <c r="A59" s="58" t="s">
        <v>38</v>
      </c>
      <c r="B59" s="58">
        <f t="shared" ref="B59:E59" si="60">+B60+B76+B81+B90+B95+B100+B104+B109+B113</f>
        <v>28006861851.611252</v>
      </c>
      <c r="C59" s="58">
        <f t="shared" si="60"/>
        <v>2333905154.3009377</v>
      </c>
      <c r="D59" s="135">
        <f t="shared" si="60"/>
        <v>1529142775</v>
      </c>
      <c r="E59" s="135">
        <f t="shared" si="60"/>
        <v>1738468056</v>
      </c>
      <c r="F59" s="135">
        <f t="shared" ref="F59" si="61">+F60+F76+F81+F90+F95+F100+F104+F109+F113</f>
        <v>1633066541</v>
      </c>
      <c r="G59" s="135">
        <f t="shared" ref="G59:H59" si="62">+G60+G76+G81+G90+G95+G100+G104+G109+G113</f>
        <v>1581202465</v>
      </c>
      <c r="H59" s="135">
        <f t="shared" si="62"/>
        <v>1877361921</v>
      </c>
      <c r="I59" s="135">
        <f>+I60+I76+I81+I90+I95+I100+I104+I109+I113</f>
        <v>1817768638</v>
      </c>
      <c r="J59" s="135">
        <f t="shared" ref="J59:K59" si="63">+J60+J76+J81+J90+J95+J100+J104+J109+J113</f>
        <v>2214111552</v>
      </c>
      <c r="K59" s="58">
        <f t="shared" si="63"/>
        <v>2277489187</v>
      </c>
      <c r="L59" s="58">
        <f>+L60+L76+L81+L90+L95+L100+L104+L109+L113</f>
        <v>1876713409</v>
      </c>
      <c r="M59" s="58">
        <f>+M60+M76+M81+M90+M95+M100+M104+M109+M113</f>
        <v>2629787091</v>
      </c>
      <c r="N59" s="48">
        <f>+N60+N76+N81+N90+N95+N100+N104+N109+N113</f>
        <v>2154064691</v>
      </c>
      <c r="O59" s="48">
        <f>+O60+O76+O81+O90+O95+O100+O104+O109+O113</f>
        <v>2989362618</v>
      </c>
      <c r="P59" s="58">
        <f>+P60+P76+P81+P90+P95+P100+P104+P109+P113</f>
        <v>24318538944</v>
      </c>
      <c r="Q59" s="172">
        <f t="shared" si="37"/>
        <v>0.86830645549818852</v>
      </c>
      <c r="S59" s="77"/>
    </row>
    <row r="60" spans="1:19" x14ac:dyDescent="0.25">
      <c r="A60" s="48" t="s">
        <v>87</v>
      </c>
      <c r="B60" s="48">
        <f>SUM(B61:B69)</f>
        <v>9242130033.4660263</v>
      </c>
      <c r="C60" s="48">
        <f>SUM(C61:C69)</f>
        <v>770177502.78883564</v>
      </c>
      <c r="D60" s="124">
        <f>SUM(D61:D69)</f>
        <v>68182784</v>
      </c>
      <c r="E60" s="124">
        <f>SUM(E61:E75)</f>
        <v>395903871</v>
      </c>
      <c r="F60" s="124">
        <f>SUM(F61:F69)</f>
        <v>323934548</v>
      </c>
      <c r="G60" s="124">
        <f t="shared" ref="G60:J60" si="64">SUM(G61:G75)</f>
        <v>203188850</v>
      </c>
      <c r="H60" s="124">
        <f t="shared" si="64"/>
        <v>517067168</v>
      </c>
      <c r="I60" s="124">
        <f t="shared" si="64"/>
        <v>284869846</v>
      </c>
      <c r="J60" s="124">
        <f t="shared" si="64"/>
        <v>463100146</v>
      </c>
      <c r="K60" s="48">
        <f t="shared" ref="K60:N60" si="65">SUM(K61:K75)</f>
        <v>844035574</v>
      </c>
      <c r="L60" s="48">
        <f t="shared" si="65"/>
        <v>363258000</v>
      </c>
      <c r="M60" s="48">
        <f t="shared" si="65"/>
        <v>815322894</v>
      </c>
      <c r="N60" s="48">
        <f t="shared" si="65"/>
        <v>523749409</v>
      </c>
      <c r="O60" s="48">
        <f>SUM(O61:O75)</f>
        <v>1229141458</v>
      </c>
      <c r="P60" s="48">
        <f>SUM(P61:P75)</f>
        <v>6031754548</v>
      </c>
      <c r="Q60" s="174">
        <f t="shared" si="37"/>
        <v>0.65263684087530016</v>
      </c>
    </row>
    <row r="61" spans="1:19" x14ac:dyDescent="0.25">
      <c r="A61" s="91" t="s">
        <v>159</v>
      </c>
      <c r="B61" s="64">
        <v>2689320878.1932983</v>
      </c>
      <c r="C61" s="123">
        <f t="shared" ref="C61:C75" si="66">+B61/12</f>
        <v>224110073.18277487</v>
      </c>
      <c r="D61" s="64">
        <v>35736338</v>
      </c>
      <c r="E61" s="64">
        <v>245082775</v>
      </c>
      <c r="F61" s="64">
        <v>192168312</v>
      </c>
      <c r="G61" s="123">
        <v>70555570</v>
      </c>
      <c r="H61" s="123">
        <v>378479857</v>
      </c>
      <c r="I61" s="123">
        <v>164702317</v>
      </c>
      <c r="J61" s="123">
        <v>230102302</v>
      </c>
      <c r="K61" s="64">
        <v>298077961</v>
      </c>
      <c r="L61" s="78">
        <v>67314159</v>
      </c>
      <c r="M61" s="78">
        <v>279657819</v>
      </c>
      <c r="N61" s="78">
        <v>220753093</v>
      </c>
      <c r="O61" s="78">
        <v>85911391</v>
      </c>
      <c r="P61" s="78">
        <f>+D61+E61+F61+G61+H61+I61+J61+K61+L61+M61+N61+O61</f>
        <v>2268541894</v>
      </c>
      <c r="Q61" s="170">
        <f t="shared" si="37"/>
        <v>0.84353708491789192</v>
      </c>
      <c r="R61" s="154"/>
    </row>
    <row r="62" spans="1:19" x14ac:dyDescent="0.25">
      <c r="A62" s="91" t="s">
        <v>160</v>
      </c>
      <c r="B62" s="64">
        <v>2007583086.9752896</v>
      </c>
      <c r="C62" s="123">
        <f t="shared" si="66"/>
        <v>167298590.58127412</v>
      </c>
      <c r="D62" s="64">
        <v>0</v>
      </c>
      <c r="E62" s="64">
        <v>0</v>
      </c>
      <c r="F62" s="64"/>
      <c r="G62" s="123">
        <v>0</v>
      </c>
      <c r="H62" s="123"/>
      <c r="I62" s="123"/>
      <c r="J62" s="123">
        <v>116734941</v>
      </c>
      <c r="K62" s="64"/>
      <c r="L62" s="64"/>
      <c r="M62" s="64"/>
      <c r="N62" s="78"/>
      <c r="O62" s="78"/>
      <c r="P62" s="78">
        <f t="shared" ref="P62:P75" si="67">+D62+E62+F62+G62+H62+I62+J62+K62+L62+M62+N62+O62</f>
        <v>116734941</v>
      </c>
      <c r="Q62" s="170">
        <f t="shared" si="37"/>
        <v>5.8147003607147273E-2</v>
      </c>
      <c r="R62" s="157"/>
      <c r="S62" s="152"/>
    </row>
    <row r="63" spans="1:19" x14ac:dyDescent="0.25">
      <c r="A63" s="91" t="s">
        <v>89</v>
      </c>
      <c r="B63" s="64">
        <v>168618475.30329725</v>
      </c>
      <c r="C63" s="123">
        <f t="shared" si="66"/>
        <v>14051539.608608104</v>
      </c>
      <c r="D63" s="64">
        <v>0</v>
      </c>
      <c r="E63" s="64">
        <v>0</v>
      </c>
      <c r="F63" s="64"/>
      <c r="G63" s="123"/>
      <c r="H63" s="123"/>
      <c r="I63" s="123"/>
      <c r="J63" s="123"/>
      <c r="K63" s="64"/>
      <c r="L63" s="64"/>
      <c r="M63" s="64"/>
      <c r="N63" s="78"/>
      <c r="O63" s="78"/>
      <c r="P63" s="78">
        <f t="shared" si="67"/>
        <v>0</v>
      </c>
      <c r="Q63" s="170">
        <f t="shared" si="37"/>
        <v>0</v>
      </c>
      <c r="R63" s="154"/>
      <c r="S63" s="152"/>
    </row>
    <row r="64" spans="1:19" x14ac:dyDescent="0.25">
      <c r="A64" s="91" t="s">
        <v>319</v>
      </c>
      <c r="B64" s="64">
        <f>557705607.065656*2</f>
        <v>1115411214.1313119</v>
      </c>
      <c r="C64" s="123">
        <f t="shared" si="66"/>
        <v>92950934.510942653</v>
      </c>
      <c r="D64" s="64">
        <f>6842244+340000</f>
        <v>7182244</v>
      </c>
      <c r="E64" s="64">
        <v>24842000</v>
      </c>
      <c r="F64" s="64">
        <v>45678900</v>
      </c>
      <c r="G64" s="123">
        <v>39690240</v>
      </c>
      <c r="H64" s="123">
        <v>49231050</v>
      </c>
      <c r="I64" s="123">
        <v>35067526</v>
      </c>
      <c r="J64" s="123">
        <v>38033150</v>
      </c>
      <c r="K64" s="64">
        <v>49245590</v>
      </c>
      <c r="L64" s="78">
        <v>47022041</v>
      </c>
      <c r="M64" s="78">
        <v>83993745</v>
      </c>
      <c r="N64" s="78">
        <v>191730939</v>
      </c>
      <c r="O64" s="78">
        <v>92185952</v>
      </c>
      <c r="P64" s="78">
        <f t="shared" si="67"/>
        <v>703903377</v>
      </c>
      <c r="Q64" s="170">
        <f t="shared" si="37"/>
        <v>0.6310707370359403</v>
      </c>
      <c r="R64" s="154"/>
      <c r="S64" s="152"/>
    </row>
    <row r="65" spans="1:19" x14ac:dyDescent="0.25">
      <c r="A65" s="91" t="s">
        <v>92</v>
      </c>
      <c r="B65" s="64">
        <v>2089107018.047581</v>
      </c>
      <c r="C65" s="123">
        <f t="shared" si="66"/>
        <v>174092251.50396508</v>
      </c>
      <c r="D65" s="64">
        <v>0</v>
      </c>
      <c r="E65" s="64">
        <v>25783135</v>
      </c>
      <c r="F65" s="64">
        <v>25880953</v>
      </c>
      <c r="G65" s="123">
        <v>28424221</v>
      </c>
      <c r="H65" s="123">
        <v>26223316</v>
      </c>
      <c r="I65" s="123">
        <v>26076589</v>
      </c>
      <c r="J65" s="123">
        <v>23435503</v>
      </c>
      <c r="K65" s="64">
        <v>24918957</v>
      </c>
      <c r="L65" s="78">
        <v>26695865</v>
      </c>
      <c r="M65" s="78">
        <v>23728600</v>
      </c>
      <c r="N65" s="78">
        <v>27864802</v>
      </c>
      <c r="O65" s="78">
        <v>97236486</v>
      </c>
      <c r="P65" s="78">
        <f t="shared" si="67"/>
        <v>356268427</v>
      </c>
      <c r="Q65" s="170">
        <f t="shared" si="37"/>
        <v>0.17053622620681164</v>
      </c>
      <c r="R65" s="154"/>
      <c r="S65" s="152"/>
    </row>
    <row r="66" spans="1:19" x14ac:dyDescent="0.25">
      <c r="A66" s="91" t="s">
        <v>94</v>
      </c>
      <c r="B66" s="64">
        <v>360000000</v>
      </c>
      <c r="C66" s="123">
        <f t="shared" si="66"/>
        <v>30000000</v>
      </c>
      <c r="D66" s="64">
        <v>0</v>
      </c>
      <c r="E66" s="64">
        <v>87499104</v>
      </c>
      <c r="F66" s="64">
        <v>43749552</v>
      </c>
      <c r="G66" s="123">
        <v>43749552</v>
      </c>
      <c r="H66" s="123">
        <v>43749552</v>
      </c>
      <c r="I66" s="123">
        <v>43749552</v>
      </c>
      <c r="J66" s="123">
        <v>43749552</v>
      </c>
      <c r="K66" s="64">
        <v>43749552</v>
      </c>
      <c r="L66" s="78">
        <v>43749552</v>
      </c>
      <c r="M66" s="78">
        <v>43749552</v>
      </c>
      <c r="N66" s="78">
        <v>43749552</v>
      </c>
      <c r="O66" s="78">
        <v>43749552</v>
      </c>
      <c r="P66" s="78">
        <f t="shared" si="67"/>
        <v>524994624</v>
      </c>
      <c r="Q66" s="170">
        <f t="shared" si="37"/>
        <v>1.4583184</v>
      </c>
      <c r="R66" s="154"/>
      <c r="S66" s="152"/>
    </row>
    <row r="67" spans="1:19" x14ac:dyDescent="0.25">
      <c r="A67" s="91" t="s">
        <v>98</v>
      </c>
      <c r="B67" s="64">
        <v>64571104.600519031</v>
      </c>
      <c r="C67" s="123">
        <f t="shared" si="66"/>
        <v>5380925.3833765863</v>
      </c>
      <c r="D67" s="64">
        <v>14104201</v>
      </c>
      <c r="E67" s="64">
        <v>9116857</v>
      </c>
      <c r="F67" s="64">
        <v>5876831</v>
      </c>
      <c r="G67" s="123">
        <v>6769267</v>
      </c>
      <c r="H67" s="123">
        <v>12383393</v>
      </c>
      <c r="I67" s="123">
        <v>8273862</v>
      </c>
      <c r="J67" s="123">
        <v>4379448</v>
      </c>
      <c r="K67" s="64">
        <v>19136946</v>
      </c>
      <c r="L67" s="78">
        <v>110761839</v>
      </c>
      <c r="M67" s="78">
        <v>20557001</v>
      </c>
      <c r="N67" s="78">
        <v>17256031</v>
      </c>
      <c r="O67" s="78">
        <v>28203645</v>
      </c>
      <c r="P67" s="78">
        <f t="shared" si="67"/>
        <v>256819321</v>
      </c>
      <c r="Q67" s="170">
        <f t="shared" si="37"/>
        <v>3.9773103246236809</v>
      </c>
      <c r="R67" s="154"/>
      <c r="S67" s="152"/>
    </row>
    <row r="68" spans="1:19" x14ac:dyDescent="0.25">
      <c r="A68" s="91" t="s">
        <v>260</v>
      </c>
      <c r="B68" s="64">
        <v>544518256.21473002</v>
      </c>
      <c r="C68" s="123">
        <f t="shared" si="66"/>
        <v>45376521.3512275</v>
      </c>
      <c r="D68" s="64">
        <f>10500000+660001</f>
        <v>11160001</v>
      </c>
      <c r="E68" s="64">
        <v>3580000</v>
      </c>
      <c r="F68" s="64">
        <v>10580000</v>
      </c>
      <c r="G68" s="123">
        <v>14000000</v>
      </c>
      <c r="H68" s="123">
        <v>7000000</v>
      </c>
      <c r="I68" s="123">
        <v>7000000</v>
      </c>
      <c r="J68" s="123"/>
      <c r="K68" s="64">
        <v>2000000</v>
      </c>
      <c r="L68" s="78">
        <v>15500000</v>
      </c>
      <c r="M68" s="78">
        <v>0</v>
      </c>
      <c r="N68" s="78">
        <v>14000000</v>
      </c>
      <c r="O68" s="78">
        <v>7000000</v>
      </c>
      <c r="P68" s="78">
        <f t="shared" si="67"/>
        <v>91820001</v>
      </c>
      <c r="Q68" s="170">
        <f t="shared" si="37"/>
        <v>0.16862612034038196</v>
      </c>
      <c r="S68" s="154"/>
    </row>
    <row r="69" spans="1:19" x14ac:dyDescent="0.25">
      <c r="A69" s="91" t="s">
        <v>226</v>
      </c>
      <c r="B69" s="64">
        <f>SUM(B70:B75)</f>
        <v>203000000</v>
      </c>
      <c r="C69" s="123">
        <f t="shared" si="66"/>
        <v>16916666.666666668</v>
      </c>
      <c r="D69" s="64">
        <v>0</v>
      </c>
      <c r="E69" s="64">
        <v>0</v>
      </c>
      <c r="F69" s="64"/>
      <c r="G69" s="123"/>
      <c r="H69" s="123"/>
      <c r="I69" s="123"/>
      <c r="J69" s="123">
        <v>6665250</v>
      </c>
      <c r="K69" s="64">
        <v>363770268</v>
      </c>
      <c r="L69" s="78">
        <v>9078244</v>
      </c>
      <c r="M69" s="78">
        <v>363636177</v>
      </c>
      <c r="N69" s="78">
        <v>8394992</v>
      </c>
      <c r="O69" s="78">
        <v>477681056</v>
      </c>
      <c r="P69" s="78">
        <f t="shared" si="67"/>
        <v>1229225987</v>
      </c>
      <c r="Q69" s="170">
        <f t="shared" ref="Q69:Q101" si="68">+P69/((B69/12)*12)</f>
        <v>6.0553004285714289</v>
      </c>
      <c r="R69" s="167"/>
      <c r="S69" s="152"/>
    </row>
    <row r="70" spans="1:19" x14ac:dyDescent="0.25">
      <c r="A70" s="91" t="s">
        <v>227</v>
      </c>
      <c r="B70" s="64">
        <v>40000000</v>
      </c>
      <c r="C70" s="123">
        <f t="shared" si="66"/>
        <v>3333333.3333333335</v>
      </c>
      <c r="D70" s="64">
        <v>0</v>
      </c>
      <c r="E70" s="64">
        <v>0</v>
      </c>
      <c r="F70" s="64"/>
      <c r="G70" s="64"/>
      <c r="H70" s="64"/>
      <c r="I70" s="64"/>
      <c r="J70" s="64"/>
      <c r="K70" s="64"/>
      <c r="L70" s="78"/>
      <c r="M70" s="78"/>
      <c r="N70" s="78"/>
      <c r="O70" s="78"/>
      <c r="P70" s="78">
        <f t="shared" si="67"/>
        <v>0</v>
      </c>
      <c r="Q70" s="170">
        <f t="shared" si="68"/>
        <v>0</v>
      </c>
      <c r="S70" s="152"/>
    </row>
    <row r="71" spans="1:19" x14ac:dyDescent="0.25">
      <c r="A71" s="91" t="s">
        <v>228</v>
      </c>
      <c r="B71" s="64">
        <v>10000000</v>
      </c>
      <c r="C71" s="123">
        <f t="shared" si="66"/>
        <v>833333.33333333337</v>
      </c>
      <c r="D71" s="64">
        <v>0</v>
      </c>
      <c r="E71" s="64">
        <v>0</v>
      </c>
      <c r="F71" s="64"/>
      <c r="G71" s="64"/>
      <c r="H71" s="64"/>
      <c r="I71" s="64"/>
      <c r="J71" s="64"/>
      <c r="K71" s="64"/>
      <c r="L71" s="64"/>
      <c r="M71" s="64"/>
      <c r="N71" s="78"/>
      <c r="O71" s="78"/>
      <c r="P71" s="78">
        <f t="shared" si="67"/>
        <v>0</v>
      </c>
      <c r="Q71" s="170">
        <f t="shared" si="68"/>
        <v>0</v>
      </c>
      <c r="S71" s="152"/>
    </row>
    <row r="72" spans="1:19" x14ac:dyDescent="0.25">
      <c r="A72" s="91" t="s">
        <v>320</v>
      </c>
      <c r="B72" s="64">
        <v>96000000</v>
      </c>
      <c r="C72" s="123">
        <f t="shared" si="66"/>
        <v>8000000</v>
      </c>
      <c r="D72" s="64">
        <v>0</v>
      </c>
      <c r="E72" s="64">
        <v>0</v>
      </c>
      <c r="F72" s="64"/>
      <c r="G72" s="64"/>
      <c r="H72" s="64"/>
      <c r="I72" s="64"/>
      <c r="J72" s="64"/>
      <c r="K72" s="64">
        <v>43136300</v>
      </c>
      <c r="L72" s="78">
        <v>43136300</v>
      </c>
      <c r="M72" s="78">
        <v>0</v>
      </c>
      <c r="N72" s="78"/>
      <c r="O72" s="78">
        <v>86272601</v>
      </c>
      <c r="P72" s="78">
        <f t="shared" si="67"/>
        <v>172545201</v>
      </c>
      <c r="Q72" s="170">
        <f t="shared" si="68"/>
        <v>1.7973458437500001</v>
      </c>
      <c r="S72" s="152"/>
    </row>
    <row r="73" spans="1:19" x14ac:dyDescent="0.25">
      <c r="A73" s="91" t="s">
        <v>229</v>
      </c>
      <c r="B73" s="64">
        <v>7000000</v>
      </c>
      <c r="C73" s="123">
        <f t="shared" si="66"/>
        <v>583333.33333333337</v>
      </c>
      <c r="D73" s="64">
        <v>0</v>
      </c>
      <c r="E73" s="64">
        <v>0</v>
      </c>
      <c r="F73" s="64"/>
      <c r="G73" s="64"/>
      <c r="H73" s="64"/>
      <c r="I73" s="64"/>
      <c r="J73" s="64"/>
      <c r="K73" s="64"/>
      <c r="L73" s="64"/>
      <c r="M73" s="64"/>
      <c r="N73" s="78"/>
      <c r="O73" s="78"/>
      <c r="P73" s="78">
        <f t="shared" si="67"/>
        <v>0</v>
      </c>
      <c r="Q73" s="170">
        <f t="shared" si="68"/>
        <v>0</v>
      </c>
      <c r="S73" s="152"/>
    </row>
    <row r="74" spans="1:19" x14ac:dyDescent="0.25">
      <c r="A74" s="36" t="s">
        <v>88</v>
      </c>
      <c r="B74" s="64"/>
      <c r="C74" s="123">
        <f t="shared" ref="C74" si="69">+B74/12</f>
        <v>0</v>
      </c>
      <c r="D74" s="64">
        <v>0</v>
      </c>
      <c r="E74" s="64">
        <v>0</v>
      </c>
      <c r="F74" s="64"/>
      <c r="G74" s="64"/>
      <c r="H74" s="64"/>
      <c r="I74" s="64"/>
      <c r="J74" s="64"/>
      <c r="K74" s="64"/>
      <c r="L74" s="64"/>
      <c r="M74" s="64"/>
      <c r="N74" s="78"/>
      <c r="O74" s="78">
        <v>310900775</v>
      </c>
      <c r="P74" s="78">
        <f>+D74+E74+F74+G74+H74+I74+J74+K74+L74+M74+N74+O74</f>
        <v>310900775</v>
      </c>
      <c r="Q74" s="170">
        <v>0</v>
      </c>
      <c r="S74" s="152"/>
    </row>
    <row r="75" spans="1:19" x14ac:dyDescent="0.25">
      <c r="A75" s="36" t="s">
        <v>230</v>
      </c>
      <c r="B75" s="64">
        <v>50000000</v>
      </c>
      <c r="C75" s="123">
        <f t="shared" si="66"/>
        <v>4166666.6666666665</v>
      </c>
      <c r="D75" s="64">
        <v>0</v>
      </c>
      <c r="E75" s="64">
        <v>0</v>
      </c>
      <c r="F75" s="64"/>
      <c r="G75" s="64"/>
      <c r="H75" s="64"/>
      <c r="I75" s="64"/>
      <c r="J75" s="64"/>
      <c r="K75" s="64"/>
      <c r="L75" s="64"/>
      <c r="M75" s="64"/>
      <c r="N75" s="78"/>
      <c r="O75" s="78"/>
      <c r="P75" s="78">
        <f t="shared" si="67"/>
        <v>0</v>
      </c>
      <c r="Q75" s="170">
        <f t="shared" si="68"/>
        <v>0</v>
      </c>
      <c r="S75" s="152"/>
    </row>
    <row r="76" spans="1:19" x14ac:dyDescent="0.25">
      <c r="A76" s="48" t="s">
        <v>99</v>
      </c>
      <c r="B76" s="48">
        <f t="shared" ref="B76:E76" si="70">SUM(B77:B80)</f>
        <v>1259396143.053365</v>
      </c>
      <c r="C76" s="48">
        <f t="shared" si="70"/>
        <v>104949678.58778042</v>
      </c>
      <c r="D76" s="124">
        <f t="shared" si="70"/>
        <v>91781356</v>
      </c>
      <c r="E76" s="124">
        <f t="shared" si="70"/>
        <v>93576943</v>
      </c>
      <c r="F76" s="124">
        <f t="shared" ref="F76" si="71">SUM(F77:F80)</f>
        <v>88562998</v>
      </c>
      <c r="G76" s="124">
        <f t="shared" ref="G76:H76" si="72">SUM(G77:G80)</f>
        <v>96344556</v>
      </c>
      <c r="H76" s="124">
        <f t="shared" si="72"/>
        <v>113306580</v>
      </c>
      <c r="I76" s="124">
        <f t="shared" ref="I76:N76" si="73">SUM(I77:I80)</f>
        <v>231262098</v>
      </c>
      <c r="J76" s="124">
        <f t="shared" si="73"/>
        <v>211029339</v>
      </c>
      <c r="K76" s="48">
        <f t="shared" ref="K76" si="74">SUM(K77:K80)</f>
        <v>214244144</v>
      </c>
      <c r="L76" s="48">
        <f t="shared" si="73"/>
        <v>204905531</v>
      </c>
      <c r="M76" s="48">
        <f t="shared" si="73"/>
        <v>235297643</v>
      </c>
      <c r="N76" s="48">
        <f t="shared" si="73"/>
        <v>235414544</v>
      </c>
      <c r="O76" s="48">
        <f>SUM(O77:O80)</f>
        <v>122351168</v>
      </c>
      <c r="P76" s="48">
        <f>SUM(P77:P80)</f>
        <v>1938076900</v>
      </c>
      <c r="Q76" s="174">
        <f t="shared" si="68"/>
        <v>1.5388937870662329</v>
      </c>
    </row>
    <row r="77" spans="1:19" x14ac:dyDescent="0.25">
      <c r="A77" s="36" t="s">
        <v>100</v>
      </c>
      <c r="B77" s="64">
        <v>288759138.95689654</v>
      </c>
      <c r="C77" s="123">
        <f t="shared" ref="C77:C80" si="75">+B77/12</f>
        <v>24063261.579741377</v>
      </c>
      <c r="D77" s="64">
        <v>20940271</v>
      </c>
      <c r="E77" s="64">
        <v>22175767</v>
      </c>
      <c r="F77" s="64">
        <v>22175767</v>
      </c>
      <c r="G77" s="64">
        <v>22175767</v>
      </c>
      <c r="H77" s="64">
        <v>22399767</v>
      </c>
      <c r="I77" s="64">
        <v>24496242</v>
      </c>
      <c r="J77" s="64">
        <v>24496242</v>
      </c>
      <c r="K77" s="64">
        <v>23409797</v>
      </c>
      <c r="L77" s="78">
        <v>2401546</v>
      </c>
      <c r="M77" s="78">
        <v>24236664</v>
      </c>
      <c r="N77" s="78">
        <v>24061664</v>
      </c>
      <c r="O77" s="78">
        <v>48123328</v>
      </c>
      <c r="P77" s="78">
        <f>+D77+E77+F77+G77+H77+I77+J77+K77+L77+M77+N77+O77</f>
        <v>281092822</v>
      </c>
      <c r="Q77" s="170">
        <f t="shared" si="68"/>
        <v>0.97345082484803747</v>
      </c>
      <c r="R77" s="154"/>
      <c r="S77" s="77"/>
    </row>
    <row r="78" spans="1:19" x14ac:dyDescent="0.25">
      <c r="A78" s="36" t="s">
        <v>101</v>
      </c>
      <c r="B78" s="64">
        <v>250516695.53646851</v>
      </c>
      <c r="C78" s="123">
        <f t="shared" si="75"/>
        <v>20876391.294705708</v>
      </c>
      <c r="D78" s="64">
        <v>19877004</v>
      </c>
      <c r="E78" s="64">
        <v>20437095</v>
      </c>
      <c r="F78" s="64">
        <v>15423150</v>
      </c>
      <c r="G78" s="64">
        <v>21604708</v>
      </c>
      <c r="H78" s="64">
        <v>20251879</v>
      </c>
      <c r="I78" s="64">
        <v>20232759</v>
      </c>
      <c r="J78" s="64">
        <v>0</v>
      </c>
      <c r="K78" s="64"/>
      <c r="L78" s="78">
        <v>10995888</v>
      </c>
      <c r="M78" s="78">
        <v>21390382</v>
      </c>
      <c r="N78" s="78">
        <v>21682283</v>
      </c>
      <c r="O78" s="78">
        <v>2565576</v>
      </c>
      <c r="P78" s="78">
        <f t="shared" ref="P78:P80" si="76">+D78+E78+F78+G78+H78+I78+J78+K78+L78+M78+N78+O78</f>
        <v>174460724</v>
      </c>
      <c r="Q78" s="170">
        <f t="shared" si="68"/>
        <v>0.69640358151140946</v>
      </c>
      <c r="R78" s="158"/>
      <c r="S78" s="77"/>
    </row>
    <row r="79" spans="1:19" x14ac:dyDescent="0.25">
      <c r="A79" s="36" t="s">
        <v>231</v>
      </c>
      <c r="B79" s="64">
        <v>693448376.55999994</v>
      </c>
      <c r="C79" s="123">
        <f t="shared" si="75"/>
        <v>57787364.713333331</v>
      </c>
      <c r="D79" s="64">
        <v>48867231</v>
      </c>
      <c r="E79" s="64">
        <v>48867231</v>
      </c>
      <c r="F79" s="64">
        <v>48867231</v>
      </c>
      <c r="G79" s="64">
        <v>50467231</v>
      </c>
      <c r="H79" s="64">
        <v>68558084</v>
      </c>
      <c r="I79" s="64">
        <v>186533097</v>
      </c>
      <c r="J79" s="64">
        <v>186533097</v>
      </c>
      <c r="K79" s="64">
        <v>187833097</v>
      </c>
      <c r="L79" s="78">
        <v>187833097</v>
      </c>
      <c r="M79" s="78">
        <v>187833097</v>
      </c>
      <c r="N79" s="78">
        <v>187833097</v>
      </c>
      <c r="O79" s="78">
        <v>69824764</v>
      </c>
      <c r="P79" s="78">
        <f>+D79+E79+F79+G79+H79+I79+J79+K79+L79+M79+N79+O79</f>
        <v>1459850354</v>
      </c>
      <c r="Q79" s="170">
        <f t="shared" si="68"/>
        <v>2.1052040834559338</v>
      </c>
      <c r="S79" s="77"/>
    </row>
    <row r="80" spans="1:19" x14ac:dyDescent="0.25">
      <c r="A80" s="36" t="s">
        <v>246</v>
      </c>
      <c r="B80" s="64">
        <v>26671932</v>
      </c>
      <c r="C80" s="123">
        <f t="shared" si="75"/>
        <v>2222661</v>
      </c>
      <c r="D80" s="64">
        <v>2096850</v>
      </c>
      <c r="E80" s="64">
        <v>2096850</v>
      </c>
      <c r="F80" s="64">
        <v>2096850</v>
      </c>
      <c r="G80" s="64">
        <v>2096850</v>
      </c>
      <c r="H80" s="64">
        <v>2096850</v>
      </c>
      <c r="I80" s="64">
        <v>0</v>
      </c>
      <c r="J80" s="64"/>
      <c r="K80" s="64">
        <v>3001250</v>
      </c>
      <c r="L80" s="78">
        <v>3675000</v>
      </c>
      <c r="M80" s="78">
        <v>1837500</v>
      </c>
      <c r="N80" s="78">
        <v>1837500</v>
      </c>
      <c r="O80" s="78">
        <v>1837500</v>
      </c>
      <c r="P80" s="78">
        <f t="shared" si="76"/>
        <v>22673000</v>
      </c>
      <c r="Q80" s="170">
        <f t="shared" si="68"/>
        <v>0.85006965374686771</v>
      </c>
      <c r="R80" s="154"/>
      <c r="S80" s="77"/>
    </row>
    <row r="81" spans="1:19" x14ac:dyDescent="0.25">
      <c r="A81" s="48" t="s">
        <v>102</v>
      </c>
      <c r="B81" s="48">
        <f t="shared" ref="B81:E81" si="77">SUM(B82:B89)</f>
        <v>3480139133.0587292</v>
      </c>
      <c r="C81" s="48">
        <f t="shared" si="77"/>
        <v>290011594.42156076</v>
      </c>
      <c r="D81" s="124">
        <f t="shared" si="77"/>
        <v>203616884</v>
      </c>
      <c r="E81" s="124">
        <f t="shared" si="77"/>
        <v>421246750</v>
      </c>
      <c r="F81" s="124">
        <f t="shared" ref="F81" si="78">SUM(F82:F89)</f>
        <v>217943376</v>
      </c>
      <c r="G81" s="124">
        <f t="shared" ref="G81:H81" si="79">SUM(G82:G89)</f>
        <v>269129215</v>
      </c>
      <c r="H81" s="124">
        <f t="shared" si="79"/>
        <v>289366243</v>
      </c>
      <c r="I81" s="124">
        <f t="shared" ref="I81:N81" si="80">SUM(I82:I89)</f>
        <v>275377058</v>
      </c>
      <c r="J81" s="124">
        <f t="shared" si="80"/>
        <v>230166473</v>
      </c>
      <c r="K81" s="48">
        <f t="shared" si="80"/>
        <v>247335606</v>
      </c>
      <c r="L81" s="48">
        <f t="shared" si="80"/>
        <v>289018926</v>
      </c>
      <c r="M81" s="48">
        <f t="shared" si="80"/>
        <v>277259129</v>
      </c>
      <c r="N81" s="48">
        <f t="shared" si="80"/>
        <v>268732195</v>
      </c>
      <c r="O81" s="48">
        <f>SUM(O82:O89)</f>
        <v>522960712</v>
      </c>
      <c r="P81" s="48">
        <f>SUM(P82:P89)</f>
        <v>3512152567</v>
      </c>
      <c r="Q81" s="174">
        <f t="shared" si="68"/>
        <v>1.009198894847958</v>
      </c>
    </row>
    <row r="82" spans="1:19" x14ac:dyDescent="0.25">
      <c r="A82" s="36" t="s">
        <v>103</v>
      </c>
      <c r="B82" s="64">
        <v>101796236.49298057</v>
      </c>
      <c r="C82" s="123">
        <f t="shared" ref="C82:C89" si="81">+B82/12</f>
        <v>8483019.7077483814</v>
      </c>
      <c r="D82" s="64">
        <v>10035796</v>
      </c>
      <c r="E82" s="64">
        <v>9138838</v>
      </c>
      <c r="F82" s="64">
        <v>10598042</v>
      </c>
      <c r="G82" s="64">
        <v>9803545</v>
      </c>
      <c r="H82" s="64">
        <v>10991806</v>
      </c>
      <c r="I82" s="64">
        <v>9651655</v>
      </c>
      <c r="J82" s="64">
        <v>9285465</v>
      </c>
      <c r="K82" s="64">
        <v>12423344</v>
      </c>
      <c r="L82" s="78">
        <v>12017559</v>
      </c>
      <c r="M82" s="78">
        <v>12628389</v>
      </c>
      <c r="N82" s="78">
        <v>11217904</v>
      </c>
      <c r="O82" s="78">
        <v>14405096</v>
      </c>
      <c r="P82" s="78">
        <f>+D82+E82+F82+G82+H82+I82+J82+K82+L82+M82+N82+O82</f>
        <v>132197439</v>
      </c>
      <c r="Q82" s="170">
        <f t="shared" si="68"/>
        <v>1.2986476077542981</v>
      </c>
      <c r="R82" s="154"/>
      <c r="S82" s="77"/>
    </row>
    <row r="83" spans="1:19" x14ac:dyDescent="0.25">
      <c r="A83" s="36" t="s">
        <v>104</v>
      </c>
      <c r="B83" s="64">
        <v>28525276.49761375</v>
      </c>
      <c r="C83" s="123">
        <f t="shared" si="81"/>
        <v>2377106.3748011459</v>
      </c>
      <c r="D83" s="64">
        <v>2706899</v>
      </c>
      <c r="E83" s="64">
        <v>2164008</v>
      </c>
      <c r="F83" s="64">
        <v>2494912</v>
      </c>
      <c r="G83" s="64">
        <v>2453852</v>
      </c>
      <c r="H83" s="64">
        <v>2575100</v>
      </c>
      <c r="I83" s="64">
        <v>2214750</v>
      </c>
      <c r="J83" s="64">
        <v>2364177</v>
      </c>
      <c r="K83" s="64">
        <v>2442488</v>
      </c>
      <c r="L83" s="78">
        <v>2582037</v>
      </c>
      <c r="M83" s="78">
        <v>3418125</v>
      </c>
      <c r="N83" s="78">
        <v>1087873</v>
      </c>
      <c r="O83" s="78">
        <v>3661934</v>
      </c>
      <c r="P83" s="78">
        <f t="shared" ref="P83:P89" si="82">+D83+E83+F83+G83+H83+I83+J83+K83+L83+M83+N83+O83</f>
        <v>30166155</v>
      </c>
      <c r="Q83" s="170">
        <f t="shared" si="68"/>
        <v>1.0575236668616872</v>
      </c>
      <c r="R83" s="154"/>
      <c r="S83" s="77"/>
    </row>
    <row r="84" spans="1:19" x14ac:dyDescent="0.25">
      <c r="A84" s="36" t="s">
        <v>105</v>
      </c>
      <c r="B84" s="64">
        <v>21014239.443843067</v>
      </c>
      <c r="C84" s="123">
        <f t="shared" si="81"/>
        <v>1751186.6203202556</v>
      </c>
      <c r="D84" s="64">
        <v>1680558</v>
      </c>
      <c r="E84" s="64">
        <v>1500225</v>
      </c>
      <c r="F84" s="64">
        <v>1818753</v>
      </c>
      <c r="G84" s="64">
        <v>1728577</v>
      </c>
      <c r="H84" s="64">
        <v>1862572</v>
      </c>
      <c r="I84" s="64">
        <v>1140822</v>
      </c>
      <c r="J84" s="64">
        <v>1557949</v>
      </c>
      <c r="K84" s="64">
        <v>1696666</v>
      </c>
      <c r="L84" s="78">
        <v>1771782</v>
      </c>
      <c r="M84" s="78">
        <v>2594259</v>
      </c>
      <c r="N84" s="78">
        <v>432593</v>
      </c>
      <c r="O84" s="78">
        <v>2333006</v>
      </c>
      <c r="P84" s="78">
        <f t="shared" si="82"/>
        <v>20117762</v>
      </c>
      <c r="Q84" s="170">
        <f t="shared" si="68"/>
        <v>0.95733952464762062</v>
      </c>
      <c r="R84" s="154"/>
      <c r="S84" s="77"/>
    </row>
    <row r="85" spans="1:19" x14ac:dyDescent="0.25">
      <c r="A85" s="36" t="s">
        <v>106</v>
      </c>
      <c r="B85" s="64">
        <v>21018218.069835857</v>
      </c>
      <c r="C85" s="123">
        <f t="shared" si="81"/>
        <v>1751518.1724863213</v>
      </c>
      <c r="D85" s="64">
        <v>1936760</v>
      </c>
      <c r="E85" s="64">
        <v>1845922</v>
      </c>
      <c r="F85" s="64">
        <v>2029074</v>
      </c>
      <c r="G85" s="64">
        <v>1937908</v>
      </c>
      <c r="H85" s="64">
        <v>1970531</v>
      </c>
      <c r="I85" s="64">
        <v>1881724</v>
      </c>
      <c r="J85" s="64">
        <v>1856439</v>
      </c>
      <c r="K85" s="64">
        <v>1927655</v>
      </c>
      <c r="L85" s="78">
        <v>1896147</v>
      </c>
      <c r="M85" s="78">
        <v>1956454</v>
      </c>
      <c r="N85" s="78">
        <v>1997644</v>
      </c>
      <c r="O85" s="78">
        <v>1965802</v>
      </c>
      <c r="P85" s="78">
        <f t="shared" si="82"/>
        <v>23202060</v>
      </c>
      <c r="Q85" s="170">
        <f t="shared" si="68"/>
        <v>1.103902334770152</v>
      </c>
      <c r="R85" s="154"/>
      <c r="S85" s="77"/>
    </row>
    <row r="86" spans="1:19" x14ac:dyDescent="0.25">
      <c r="A86" s="36" t="s">
        <v>107</v>
      </c>
      <c r="B86" s="64">
        <v>279358140.96278155</v>
      </c>
      <c r="C86" s="123">
        <f t="shared" si="81"/>
        <v>23279845.080231797</v>
      </c>
      <c r="D86" s="64">
        <v>22636110</v>
      </c>
      <c r="E86" s="64">
        <v>24022435</v>
      </c>
      <c r="F86" s="64">
        <v>24436384</v>
      </c>
      <c r="G86" s="64">
        <v>24449285</v>
      </c>
      <c r="H86" s="64">
        <v>25971660</v>
      </c>
      <c r="I86" s="64">
        <v>30609336</v>
      </c>
      <c r="J86" s="64">
        <v>20347728</v>
      </c>
      <c r="K86" s="64">
        <v>18270347</v>
      </c>
      <c r="L86" s="78">
        <v>20001683</v>
      </c>
      <c r="M86" s="78">
        <v>14122851</v>
      </c>
      <c r="N86" s="78">
        <v>18488285</v>
      </c>
      <c r="O86" s="78">
        <v>23740591</v>
      </c>
      <c r="P86" s="78">
        <f t="shared" si="82"/>
        <v>267096695</v>
      </c>
      <c r="Q86" s="170">
        <f t="shared" si="68"/>
        <v>0.95610850673431735</v>
      </c>
      <c r="R86" s="154"/>
      <c r="S86" s="77"/>
    </row>
    <row r="87" spans="1:19" x14ac:dyDescent="0.25">
      <c r="A87" s="36" t="s">
        <v>108</v>
      </c>
      <c r="B87" s="64">
        <v>739120538.45972013</v>
      </c>
      <c r="C87" s="123">
        <f t="shared" si="81"/>
        <v>61593378.204976678</v>
      </c>
      <c r="D87" s="64">
        <v>152395533</v>
      </c>
      <c r="E87" s="64">
        <v>131359198</v>
      </c>
      <c r="F87" s="64">
        <v>44899875</v>
      </c>
      <c r="G87" s="64">
        <v>93721506</v>
      </c>
      <c r="H87" s="64">
        <v>96278791</v>
      </c>
      <c r="I87" s="64">
        <v>90227918</v>
      </c>
      <c r="J87" s="64">
        <v>45484780</v>
      </c>
      <c r="K87" s="64">
        <v>76298038</v>
      </c>
      <c r="L87" s="78">
        <v>87779081</v>
      </c>
      <c r="M87" s="78">
        <v>75446862</v>
      </c>
      <c r="N87" s="78">
        <v>71218220</v>
      </c>
      <c r="O87" s="78">
        <v>146527264</v>
      </c>
      <c r="P87" s="78">
        <f t="shared" si="82"/>
        <v>1111637066</v>
      </c>
      <c r="Q87" s="170">
        <f t="shared" si="68"/>
        <v>1.5039996971489664</v>
      </c>
      <c r="R87" s="154"/>
      <c r="S87" s="77"/>
    </row>
    <row r="88" spans="1:19" x14ac:dyDescent="0.25">
      <c r="A88" s="36" t="s">
        <v>109</v>
      </c>
      <c r="B88" s="64">
        <v>97266304.189090043</v>
      </c>
      <c r="C88" s="123">
        <f t="shared" si="81"/>
        <v>8105525.3490908369</v>
      </c>
      <c r="D88" s="64">
        <v>12225228</v>
      </c>
      <c r="E88" s="64">
        <v>10818234</v>
      </c>
      <c r="F88" s="64">
        <v>11549591</v>
      </c>
      <c r="G88" s="64">
        <v>12148597</v>
      </c>
      <c r="H88" s="64">
        <v>10812070</v>
      </c>
      <c r="I88" s="64">
        <v>15120206</v>
      </c>
      <c r="J88" s="64">
        <v>10568000</v>
      </c>
      <c r="K88" s="64">
        <v>6232733</v>
      </c>
      <c r="L88" s="78">
        <v>10494834</v>
      </c>
      <c r="M88" s="78">
        <v>12744286</v>
      </c>
      <c r="N88" s="78">
        <v>10599373</v>
      </c>
      <c r="O88" s="78">
        <v>22946413</v>
      </c>
      <c r="P88" s="78">
        <f t="shared" si="82"/>
        <v>146259565</v>
      </c>
      <c r="Q88" s="170">
        <f t="shared" si="68"/>
        <v>1.5037022966932605</v>
      </c>
      <c r="R88" s="154"/>
      <c r="S88" s="77"/>
    </row>
    <row r="89" spans="1:19" x14ac:dyDescent="0.25">
      <c r="A89" s="36" t="s">
        <v>110</v>
      </c>
      <c r="B89" s="64">
        <v>2192040178.9428639</v>
      </c>
      <c r="C89" s="123">
        <f t="shared" si="81"/>
        <v>182670014.91190532</v>
      </c>
      <c r="D89" s="65">
        <v>0</v>
      </c>
      <c r="E89" s="64">
        <v>240397890</v>
      </c>
      <c r="F89" s="65">
        <v>120116745</v>
      </c>
      <c r="G89" s="64">
        <v>122885945</v>
      </c>
      <c r="H89" s="64">
        <v>138903713</v>
      </c>
      <c r="I89" s="64">
        <v>124530647</v>
      </c>
      <c r="J89" s="64">
        <v>138701935</v>
      </c>
      <c r="K89" s="64">
        <v>128044335</v>
      </c>
      <c r="L89" s="78">
        <v>152475803</v>
      </c>
      <c r="M89" s="78">
        <v>154347903</v>
      </c>
      <c r="N89" s="78">
        <v>153690303</v>
      </c>
      <c r="O89" s="78">
        <v>307380606</v>
      </c>
      <c r="P89" s="78">
        <f t="shared" si="82"/>
        <v>1781475825</v>
      </c>
      <c r="Q89" s="170">
        <f t="shared" si="68"/>
        <v>0.81270217677266154</v>
      </c>
      <c r="R89" s="154"/>
      <c r="S89" s="77"/>
    </row>
    <row r="90" spans="1:19" x14ac:dyDescent="0.25">
      <c r="A90" s="48" t="s">
        <v>111</v>
      </c>
      <c r="B90" s="48">
        <f t="shared" ref="B90:E90" si="83">SUM(B91:B94)</f>
        <v>6129403926.1584492</v>
      </c>
      <c r="C90" s="48">
        <f t="shared" si="83"/>
        <v>510783660.51320416</v>
      </c>
      <c r="D90" s="124">
        <f t="shared" si="83"/>
        <v>603475392</v>
      </c>
      <c r="E90" s="124">
        <f t="shared" si="83"/>
        <v>377570713</v>
      </c>
      <c r="F90" s="124">
        <f t="shared" ref="F90" si="84">SUM(F91:F94)</f>
        <v>544189424</v>
      </c>
      <c r="G90" s="124">
        <f t="shared" ref="G90:H90" si="85">SUM(G91:G94)</f>
        <v>578834894</v>
      </c>
      <c r="H90" s="124">
        <f t="shared" si="85"/>
        <v>435548985</v>
      </c>
      <c r="I90" s="124">
        <f t="shared" ref="I90:N90" si="86">SUM(I91:I94)</f>
        <v>459195416</v>
      </c>
      <c r="J90" s="124">
        <f t="shared" si="86"/>
        <v>887464751</v>
      </c>
      <c r="K90" s="48">
        <f t="shared" si="86"/>
        <v>496950139</v>
      </c>
      <c r="L90" s="48">
        <f t="shared" si="86"/>
        <v>527478654</v>
      </c>
      <c r="M90" s="48">
        <f t="shared" si="86"/>
        <v>769497444</v>
      </c>
      <c r="N90" s="48">
        <f t="shared" si="86"/>
        <v>561533453</v>
      </c>
      <c r="O90" s="48">
        <f>SUM(O91:O94)</f>
        <v>746328134</v>
      </c>
      <c r="P90" s="48">
        <f>SUM(P91:P94)</f>
        <v>6988067399</v>
      </c>
      <c r="Q90" s="174">
        <f t="shared" si="68"/>
        <v>1.140089229423604</v>
      </c>
    </row>
    <row r="91" spans="1:19" x14ac:dyDescent="0.25">
      <c r="A91" s="36" t="s">
        <v>112</v>
      </c>
      <c r="B91" s="64">
        <v>2462069196.8299327</v>
      </c>
      <c r="C91" s="123">
        <f t="shared" ref="C91:C94" si="87">+B91/12</f>
        <v>205172433.06916106</v>
      </c>
      <c r="D91" s="64">
        <v>360081262</v>
      </c>
      <c r="E91" s="64">
        <v>127080430</v>
      </c>
      <c r="F91" s="64">
        <v>125452889</v>
      </c>
      <c r="G91" s="64">
        <v>354592612</v>
      </c>
      <c r="H91" s="64">
        <v>119202005</v>
      </c>
      <c r="I91" s="64">
        <v>113227362</v>
      </c>
      <c r="J91" s="64">
        <v>360153692</v>
      </c>
      <c r="K91" s="64">
        <v>130181428</v>
      </c>
      <c r="L91" s="78">
        <v>145625117</v>
      </c>
      <c r="M91" s="78">
        <v>393582829</v>
      </c>
      <c r="N91" s="78">
        <v>125502822</v>
      </c>
      <c r="O91" s="78">
        <v>125188436</v>
      </c>
      <c r="P91" s="64">
        <f>+D91+E91+F91+G91+H91+I91+J91+K91+L91+M91+N91+O91</f>
        <v>2479870884</v>
      </c>
      <c r="Q91" s="170">
        <f t="shared" si="68"/>
        <v>1.0072303764626063</v>
      </c>
      <c r="R91" s="154"/>
      <c r="S91" s="77"/>
    </row>
    <row r="92" spans="1:19" x14ac:dyDescent="0.25">
      <c r="A92" s="36" t="s">
        <v>113</v>
      </c>
      <c r="B92" s="64">
        <v>10000000</v>
      </c>
      <c r="C92" s="123">
        <f t="shared" si="87"/>
        <v>833333.33333333337</v>
      </c>
      <c r="D92" s="64">
        <v>0</v>
      </c>
      <c r="E92" s="64">
        <v>45834884</v>
      </c>
      <c r="F92" s="64">
        <v>212047298</v>
      </c>
      <c r="G92" s="64">
        <v>45689407</v>
      </c>
      <c r="H92" s="64">
        <v>46496068</v>
      </c>
      <c r="I92" s="64">
        <v>129533780</v>
      </c>
      <c r="J92" s="64">
        <v>317211926</v>
      </c>
      <c r="K92" s="64">
        <v>153868747</v>
      </c>
      <c r="L92" s="78">
        <v>160184622</v>
      </c>
      <c r="M92" s="78">
        <v>154668392</v>
      </c>
      <c r="N92" s="78">
        <v>158771323</v>
      </c>
      <c r="O92" s="78">
        <v>304842390</v>
      </c>
      <c r="P92" s="64">
        <f t="shared" ref="P92:P94" si="88">+D92+E92+F92+G92+H92+I92+J92+K92+L92+M92+N92+O92</f>
        <v>1729148837</v>
      </c>
      <c r="Q92" s="170">
        <f t="shared" si="68"/>
        <v>172.91488369999999</v>
      </c>
      <c r="R92" s="154"/>
      <c r="S92" s="77"/>
    </row>
    <row r="93" spans="1:19" x14ac:dyDescent="0.25">
      <c r="A93" s="36" t="s">
        <v>114</v>
      </c>
      <c r="B93" s="64">
        <v>2170119777.1534357</v>
      </c>
      <c r="C93" s="123">
        <f t="shared" si="87"/>
        <v>180843314.7627863</v>
      </c>
      <c r="D93" s="64">
        <v>110766715</v>
      </c>
      <c r="E93" s="64">
        <v>109732676</v>
      </c>
      <c r="F93" s="64">
        <v>111669914</v>
      </c>
      <c r="G93" s="64">
        <v>113638375</v>
      </c>
      <c r="H93" s="64">
        <v>116005040</v>
      </c>
      <c r="I93" s="64">
        <v>121439825</v>
      </c>
      <c r="J93" s="64">
        <v>114961876</v>
      </c>
      <c r="K93" s="64">
        <v>116758294</v>
      </c>
      <c r="L93" s="78">
        <v>125095042</v>
      </c>
      <c r="M93" s="78">
        <v>121491724</v>
      </c>
      <c r="N93" s="78">
        <v>135159848</v>
      </c>
      <c r="O93" s="78">
        <v>133470520</v>
      </c>
      <c r="P93" s="64">
        <f t="shared" si="88"/>
        <v>1430189849</v>
      </c>
      <c r="Q93" s="170">
        <f t="shared" si="68"/>
        <v>0.65903728635476144</v>
      </c>
      <c r="R93" s="154"/>
      <c r="S93" s="77"/>
    </row>
    <row r="94" spans="1:19" x14ac:dyDescent="0.25">
      <c r="A94" s="36" t="s">
        <v>115</v>
      </c>
      <c r="B94" s="64">
        <v>1487214952.1750817</v>
      </c>
      <c r="C94" s="123">
        <f t="shared" si="87"/>
        <v>123934579.34792347</v>
      </c>
      <c r="D94" s="64">
        <v>132627415</v>
      </c>
      <c r="E94" s="64">
        <v>94922723</v>
      </c>
      <c r="F94" s="64">
        <v>95019323</v>
      </c>
      <c r="G94" s="64">
        <v>64914500</v>
      </c>
      <c r="H94" s="64">
        <v>153845872</v>
      </c>
      <c r="I94" s="64">
        <v>94994449</v>
      </c>
      <c r="J94" s="64">
        <v>95137257</v>
      </c>
      <c r="K94" s="64">
        <v>96141670</v>
      </c>
      <c r="L94" s="78">
        <v>96573873</v>
      </c>
      <c r="M94" s="78">
        <v>99754499</v>
      </c>
      <c r="N94" s="78">
        <v>142099460</v>
      </c>
      <c r="O94" s="78">
        <v>182826788</v>
      </c>
      <c r="P94" s="64">
        <f t="shared" si="88"/>
        <v>1348857829</v>
      </c>
      <c r="Q94" s="170">
        <f t="shared" si="68"/>
        <v>0.90696898052784392</v>
      </c>
      <c r="R94" s="154"/>
      <c r="S94" s="77"/>
    </row>
    <row r="95" spans="1:19" x14ac:dyDescent="0.25">
      <c r="A95" s="48" t="s">
        <v>116</v>
      </c>
      <c r="B95" s="48">
        <f t="shared" ref="B95:E95" si="89">SUM(B96:B99)</f>
        <v>299972957.95942342</v>
      </c>
      <c r="C95" s="48">
        <f t="shared" si="89"/>
        <v>24997746.496618625</v>
      </c>
      <c r="D95" s="124">
        <f t="shared" si="89"/>
        <v>7224569</v>
      </c>
      <c r="E95" s="124">
        <f t="shared" si="89"/>
        <v>8635280</v>
      </c>
      <c r="F95" s="124">
        <f t="shared" ref="F95" si="90">SUM(F96:F99)</f>
        <v>3503921</v>
      </c>
      <c r="G95" s="124">
        <f t="shared" ref="G95:H95" si="91">SUM(G96:G99)</f>
        <v>9217475</v>
      </c>
      <c r="H95" s="124">
        <f t="shared" si="91"/>
        <v>74839961</v>
      </c>
      <c r="I95" s="124">
        <f t="shared" ref="I95:N95" si="92">SUM(I96:I99)</f>
        <v>5643933</v>
      </c>
      <c r="J95" s="124">
        <f t="shared" si="92"/>
        <v>10371436</v>
      </c>
      <c r="K95" s="48">
        <f t="shared" si="92"/>
        <v>11097582</v>
      </c>
      <c r="L95" s="48">
        <f t="shared" si="92"/>
        <v>11479424</v>
      </c>
      <c r="M95" s="48">
        <f t="shared" si="92"/>
        <v>94060888</v>
      </c>
      <c r="N95" s="48">
        <f t="shared" si="92"/>
        <v>12147968</v>
      </c>
      <c r="O95" s="48">
        <f>SUM(O96:O99)</f>
        <v>8392790</v>
      </c>
      <c r="P95" s="48">
        <f>SUM(P96:P99)</f>
        <v>256615227</v>
      </c>
      <c r="Q95" s="174">
        <f t="shared" si="68"/>
        <v>0.85546120138839876</v>
      </c>
    </row>
    <row r="96" spans="1:19" x14ac:dyDescent="0.25">
      <c r="A96" s="36" t="s">
        <v>117</v>
      </c>
      <c r="B96" s="64">
        <v>56908735.414862819</v>
      </c>
      <c r="C96" s="123">
        <f t="shared" ref="C96:C99" si="93">+B96/12</f>
        <v>4742394.6179052349</v>
      </c>
      <c r="D96" s="64">
        <v>297500</v>
      </c>
      <c r="E96" s="64">
        <v>350000</v>
      </c>
      <c r="F96" s="64">
        <v>132090</v>
      </c>
      <c r="G96" s="64">
        <v>301648</v>
      </c>
      <c r="H96" s="64">
        <v>52200</v>
      </c>
      <c r="I96" s="64">
        <v>167000</v>
      </c>
      <c r="J96" s="64">
        <v>410000</v>
      </c>
      <c r="K96" s="64">
        <v>0</v>
      </c>
      <c r="L96" s="78">
        <v>5906744</v>
      </c>
      <c r="M96" s="78">
        <v>48000</v>
      </c>
      <c r="N96" s="78">
        <v>0</v>
      </c>
      <c r="O96" s="78"/>
      <c r="P96" s="78">
        <f>+D96+E96+F96+G96+H96+I96+J96+K96+L96+M96+N96+O96</f>
        <v>7665182</v>
      </c>
      <c r="Q96" s="170">
        <f t="shared" si="68"/>
        <v>0.13469253786999613</v>
      </c>
      <c r="R96" s="154"/>
      <c r="S96" s="77"/>
    </row>
    <row r="97" spans="1:19" x14ac:dyDescent="0.25">
      <c r="A97" s="36" t="s">
        <v>118</v>
      </c>
      <c r="B97" s="64">
        <v>8430923.7651648615</v>
      </c>
      <c r="C97" s="123">
        <f t="shared" si="93"/>
        <v>702576.98043040512</v>
      </c>
      <c r="D97" s="64">
        <v>4697842</v>
      </c>
      <c r="E97" s="64">
        <v>1516941</v>
      </c>
      <c r="F97" s="64">
        <v>3076831</v>
      </c>
      <c r="G97" s="64">
        <v>4421732</v>
      </c>
      <c r="H97" s="64">
        <v>34274284</v>
      </c>
      <c r="I97" s="64">
        <v>1237177</v>
      </c>
      <c r="J97" s="64">
        <v>2296056</v>
      </c>
      <c r="K97" s="64">
        <v>1148707</v>
      </c>
      <c r="L97" s="78">
        <v>1063741</v>
      </c>
      <c r="M97" s="78">
        <v>1571871</v>
      </c>
      <c r="N97" s="78">
        <v>1198211</v>
      </c>
      <c r="O97" s="78">
        <v>541890</v>
      </c>
      <c r="P97" s="78">
        <f t="shared" ref="P97:P99" si="94">+D97+E97+F97+G97+H97+I97+J97+K97+L97+M97+N97+O97</f>
        <v>57045283</v>
      </c>
      <c r="Q97" s="170">
        <f t="shared" si="68"/>
        <v>6.7661960407827877</v>
      </c>
      <c r="R97" s="154"/>
      <c r="S97" s="77"/>
    </row>
    <row r="98" spans="1:19" x14ac:dyDescent="0.25">
      <c r="A98" s="36" t="s">
        <v>119</v>
      </c>
      <c r="B98" s="64">
        <v>23860204.65027421</v>
      </c>
      <c r="C98" s="123">
        <f t="shared" si="93"/>
        <v>1988350.3875228509</v>
      </c>
      <c r="D98" s="64">
        <v>0</v>
      </c>
      <c r="E98" s="64">
        <v>0</v>
      </c>
      <c r="F98" s="64"/>
      <c r="G98" s="64">
        <v>0</v>
      </c>
      <c r="H98" s="64">
        <v>0</v>
      </c>
      <c r="I98" s="64">
        <v>0</v>
      </c>
      <c r="J98" s="64">
        <v>0</v>
      </c>
      <c r="K98" s="64"/>
      <c r="L98" s="64">
        <v>0</v>
      </c>
      <c r="M98" s="64"/>
      <c r="N98" s="78"/>
      <c r="O98" s="78"/>
      <c r="P98" s="78">
        <f t="shared" si="94"/>
        <v>0</v>
      </c>
      <c r="Q98" s="170">
        <f t="shared" si="68"/>
        <v>0</v>
      </c>
      <c r="R98" s="154"/>
      <c r="S98" s="77"/>
    </row>
    <row r="99" spans="1:19" x14ac:dyDescent="0.25">
      <c r="A99" s="91" t="s">
        <v>120</v>
      </c>
      <c r="B99" s="64">
        <v>210773094.12912157</v>
      </c>
      <c r="C99" s="123">
        <f t="shared" si="93"/>
        <v>17564424.510760132</v>
      </c>
      <c r="D99" s="64">
        <v>2229227</v>
      </c>
      <c r="E99" s="64">
        <v>6768339</v>
      </c>
      <c r="F99" s="64">
        <v>295000</v>
      </c>
      <c r="G99" s="64">
        <v>4494095</v>
      </c>
      <c r="H99" s="64">
        <v>40513477</v>
      </c>
      <c r="I99" s="64">
        <v>4239756</v>
      </c>
      <c r="J99" s="64">
        <v>7665380</v>
      </c>
      <c r="K99" s="64">
        <v>9948875</v>
      </c>
      <c r="L99" s="78">
        <v>4508939</v>
      </c>
      <c r="M99" s="78">
        <v>92441017</v>
      </c>
      <c r="N99" s="78">
        <v>10949757</v>
      </c>
      <c r="O99" s="78">
        <v>7850900</v>
      </c>
      <c r="P99" s="78">
        <f t="shared" si="94"/>
        <v>191904762</v>
      </c>
      <c r="Q99" s="170">
        <f t="shared" si="68"/>
        <v>0.9104803570537201</v>
      </c>
      <c r="R99" s="154"/>
      <c r="S99" s="77"/>
    </row>
    <row r="100" spans="1:19" x14ac:dyDescent="0.25">
      <c r="A100" s="48" t="s">
        <v>121</v>
      </c>
      <c r="B100" s="48">
        <f t="shared" ref="B100:E100" si="95">SUM(B101:B103)</f>
        <v>817799605.22099161</v>
      </c>
      <c r="C100" s="48">
        <f t="shared" si="95"/>
        <v>68149967.101749301</v>
      </c>
      <c r="D100" s="124">
        <f t="shared" si="95"/>
        <v>105619867</v>
      </c>
      <c r="E100" s="124">
        <f t="shared" si="95"/>
        <v>37427296</v>
      </c>
      <c r="F100" s="124">
        <f t="shared" ref="F100" si="96">SUM(F101:F103)</f>
        <v>37376348</v>
      </c>
      <c r="G100" s="124">
        <f t="shared" ref="G100:H100" si="97">SUM(G101:G103)</f>
        <v>30347871</v>
      </c>
      <c r="H100" s="124">
        <f t="shared" si="97"/>
        <v>42579152</v>
      </c>
      <c r="I100" s="124">
        <f t="shared" ref="I100:N100" si="98">SUM(I101:I103)</f>
        <v>20041619</v>
      </c>
      <c r="J100" s="124">
        <f t="shared" si="98"/>
        <v>25103050</v>
      </c>
      <c r="K100" s="48">
        <f t="shared" si="98"/>
        <v>57263292</v>
      </c>
      <c r="L100" s="48">
        <f t="shared" si="98"/>
        <v>105665904</v>
      </c>
      <c r="M100" s="48">
        <f t="shared" si="98"/>
        <v>46177397</v>
      </c>
      <c r="N100" s="48">
        <f t="shared" si="98"/>
        <v>234494414</v>
      </c>
      <c r="O100" s="48">
        <f>SUM(O101:O103)</f>
        <v>45612938</v>
      </c>
      <c r="P100" s="48">
        <f>SUM(P101:P103)</f>
        <v>787709148</v>
      </c>
      <c r="Q100" s="170">
        <f t="shared" si="68"/>
        <v>0.96320558602756923</v>
      </c>
    </row>
    <row r="101" spans="1:19" x14ac:dyDescent="0.25">
      <c r="A101" s="36" t="s">
        <v>122</v>
      </c>
      <c r="B101" s="64">
        <v>358314260.01950657</v>
      </c>
      <c r="C101" s="123">
        <f t="shared" ref="C101:C103" si="99">+B101/12</f>
        <v>29859521.668292213</v>
      </c>
      <c r="D101" s="64">
        <v>73975982</v>
      </c>
      <c r="E101" s="64">
        <v>17175876</v>
      </c>
      <c r="F101" s="64">
        <v>1253184</v>
      </c>
      <c r="G101" s="64">
        <v>7642671</v>
      </c>
      <c r="H101" s="64">
        <v>4904347</v>
      </c>
      <c r="I101" s="64">
        <v>8689019</v>
      </c>
      <c r="J101" s="64">
        <v>10742130</v>
      </c>
      <c r="K101" s="64">
        <v>4709068</v>
      </c>
      <c r="L101" s="78">
        <v>13864006</v>
      </c>
      <c r="M101" s="78">
        <v>17121979</v>
      </c>
      <c r="N101" s="78">
        <v>4378972</v>
      </c>
      <c r="O101" s="78">
        <v>45612938</v>
      </c>
      <c r="P101" s="78">
        <f>+D101+E101+F101+G101+H101+I101+J101+K101+L101+M101+N101+O101</f>
        <v>210070172</v>
      </c>
      <c r="Q101" s="170">
        <f t="shared" si="68"/>
        <v>0.58627354654699981</v>
      </c>
      <c r="R101" s="154"/>
      <c r="S101" s="77"/>
    </row>
    <row r="102" spans="1:19" x14ac:dyDescent="0.25">
      <c r="A102" s="36" t="s">
        <v>123</v>
      </c>
      <c r="B102" s="64">
        <v>106651185.62933549</v>
      </c>
      <c r="C102" s="123">
        <f t="shared" si="99"/>
        <v>8887598.8024446238</v>
      </c>
      <c r="D102" s="64">
        <v>31643885</v>
      </c>
      <c r="E102" s="64">
        <v>20251420</v>
      </c>
      <c r="F102" s="64">
        <v>36048789</v>
      </c>
      <c r="G102" s="64">
        <v>22705200</v>
      </c>
      <c r="H102" s="64">
        <v>29309700</v>
      </c>
      <c r="I102" s="64">
        <v>11352600</v>
      </c>
      <c r="J102" s="64">
        <v>12992420</v>
      </c>
      <c r="K102" s="64">
        <v>0</v>
      </c>
      <c r="L102" s="64">
        <v>0</v>
      </c>
      <c r="M102" s="78">
        <v>0</v>
      </c>
      <c r="N102" s="78">
        <v>0</v>
      </c>
      <c r="O102" s="78"/>
      <c r="P102" s="78">
        <f t="shared" ref="P102:P103" si="100">+D102+E102+F102+G102+H102+I102+J102+K102+L102+M102+N102+O102</f>
        <v>164304014</v>
      </c>
      <c r="Q102" s="170">
        <f t="shared" ref="Q102:Q113" si="101">+P102/((B102/12)*12)</f>
        <v>1.5405737219934525</v>
      </c>
      <c r="R102" s="154"/>
      <c r="S102" s="77"/>
    </row>
    <row r="103" spans="1:19" x14ac:dyDescent="0.25">
      <c r="A103" s="36" t="s">
        <v>124</v>
      </c>
      <c r="B103" s="64">
        <v>352834159.57214946</v>
      </c>
      <c r="C103" s="123">
        <f t="shared" si="99"/>
        <v>29402846.631012455</v>
      </c>
      <c r="D103" s="64">
        <v>0</v>
      </c>
      <c r="E103" s="64">
        <v>0</v>
      </c>
      <c r="F103" s="64">
        <v>74375</v>
      </c>
      <c r="G103" s="64"/>
      <c r="H103" s="64">
        <v>8365105</v>
      </c>
      <c r="I103" s="64">
        <v>0</v>
      </c>
      <c r="J103" s="64">
        <v>1368500</v>
      </c>
      <c r="K103" s="64">
        <v>52554224</v>
      </c>
      <c r="L103" s="78">
        <v>91801898</v>
      </c>
      <c r="M103" s="78">
        <v>29055418</v>
      </c>
      <c r="N103" s="78">
        <v>230115442</v>
      </c>
      <c r="O103" s="78">
        <v>0</v>
      </c>
      <c r="P103" s="78">
        <f t="shared" si="100"/>
        <v>413334962</v>
      </c>
      <c r="Q103" s="170">
        <f t="shared" si="101"/>
        <v>1.1714709326931794</v>
      </c>
      <c r="R103" s="154"/>
      <c r="S103" s="77"/>
    </row>
    <row r="104" spans="1:19" x14ac:dyDescent="0.25">
      <c r="A104" s="48" t="s">
        <v>81</v>
      </c>
      <c r="B104" s="48">
        <f t="shared" ref="B104:E104" si="102">SUM(B105:B108)</f>
        <v>715525594.62756777</v>
      </c>
      <c r="C104" s="48">
        <f t="shared" si="102"/>
        <v>59627132.885630652</v>
      </c>
      <c r="D104" s="124">
        <f t="shared" si="102"/>
        <v>75952076</v>
      </c>
      <c r="E104" s="124">
        <f t="shared" si="102"/>
        <v>23248934</v>
      </c>
      <c r="F104" s="124">
        <f t="shared" ref="F104" si="103">SUM(F105:F108)</f>
        <v>38337859</v>
      </c>
      <c r="G104" s="124">
        <f t="shared" ref="G104:H104" si="104">SUM(G105:G108)</f>
        <v>16369914</v>
      </c>
      <c r="H104" s="124">
        <f t="shared" si="104"/>
        <v>31982913</v>
      </c>
      <c r="I104" s="124">
        <f t="shared" ref="I104:N104" si="105">SUM(I105:I108)</f>
        <v>17566901</v>
      </c>
      <c r="J104" s="124">
        <f t="shared" si="105"/>
        <v>38200796</v>
      </c>
      <c r="K104" s="48">
        <f t="shared" si="105"/>
        <v>36520942</v>
      </c>
      <c r="L104" s="48">
        <f t="shared" si="105"/>
        <v>29420978</v>
      </c>
      <c r="M104" s="48">
        <f t="shared" si="105"/>
        <v>30794469</v>
      </c>
      <c r="N104" s="48">
        <f t="shared" si="105"/>
        <v>28172641</v>
      </c>
      <c r="O104" s="48">
        <f>SUM(O105:O108)</f>
        <v>28792395</v>
      </c>
      <c r="P104" s="48">
        <f>SUM(P105:P108)</f>
        <v>395360818</v>
      </c>
      <c r="Q104" s="174">
        <f t="shared" si="101"/>
        <v>0.55254601787625213</v>
      </c>
      <c r="R104" s="154"/>
    </row>
    <row r="105" spans="1:19" x14ac:dyDescent="0.25">
      <c r="A105" s="36" t="s">
        <v>125</v>
      </c>
      <c r="B105" s="64">
        <v>244658502.34311026</v>
      </c>
      <c r="C105" s="123">
        <f t="shared" ref="C105:C108" si="106">+B105/12</f>
        <v>20388208.528592523</v>
      </c>
      <c r="D105" s="64">
        <v>29055004</v>
      </c>
      <c r="E105" s="64">
        <v>16032434</v>
      </c>
      <c r="F105" s="64">
        <v>28945235</v>
      </c>
      <c r="G105" s="64">
        <v>14664814</v>
      </c>
      <c r="H105" s="64">
        <v>22449632</v>
      </c>
      <c r="I105" s="64">
        <v>14647751</v>
      </c>
      <c r="J105" s="64">
        <v>26148820</v>
      </c>
      <c r="K105" s="64">
        <v>24329648</v>
      </c>
      <c r="L105" s="78">
        <v>17950550</v>
      </c>
      <c r="M105" s="78">
        <v>19229139</v>
      </c>
      <c r="N105" s="78">
        <v>16572541</v>
      </c>
      <c r="O105" s="78">
        <v>22386291</v>
      </c>
      <c r="P105" s="78">
        <f>+D105+E105+F105+G105+H105+I105+J105+K105+L105+M105+N105+O105</f>
        <v>252411859</v>
      </c>
      <c r="Q105" s="170">
        <f t="shared" si="101"/>
        <v>1.0316905261114384</v>
      </c>
      <c r="R105" s="154"/>
      <c r="S105" s="77"/>
    </row>
    <row r="106" spans="1:19" x14ac:dyDescent="0.25">
      <c r="A106" s="36" t="s">
        <v>167</v>
      </c>
      <c r="B106" s="64">
        <v>136580964.99567077</v>
      </c>
      <c r="C106" s="123">
        <f t="shared" si="106"/>
        <v>11381747.082972564</v>
      </c>
      <c r="D106" s="64">
        <v>8536110</v>
      </c>
      <c r="E106" s="64">
        <v>0</v>
      </c>
      <c r="F106" s="64">
        <v>170220</v>
      </c>
      <c r="G106" s="64">
        <v>927000</v>
      </c>
      <c r="H106" s="64">
        <v>1075500</v>
      </c>
      <c r="I106" s="64">
        <v>2319150</v>
      </c>
      <c r="J106" s="64">
        <v>1416100</v>
      </c>
      <c r="K106" s="64">
        <v>420000</v>
      </c>
      <c r="L106" s="78">
        <v>8382000</v>
      </c>
      <c r="M106" s="78">
        <v>3414250</v>
      </c>
      <c r="N106" s="78">
        <v>6038200</v>
      </c>
      <c r="O106" s="78">
        <v>2249204</v>
      </c>
      <c r="P106" s="78">
        <f t="shared" ref="P106:P108" si="107">+D106+E106+F106+G106+H106+I106+J106+K106+L106+M106+N106+O106</f>
        <v>34947734</v>
      </c>
      <c r="Q106" s="170">
        <f t="shared" si="101"/>
        <v>0.25587558267074584</v>
      </c>
      <c r="R106" s="154"/>
      <c r="S106" s="77"/>
    </row>
    <row r="107" spans="1:19" x14ac:dyDescent="0.25">
      <c r="A107" s="36" t="s">
        <v>126</v>
      </c>
      <c r="B107" s="64">
        <v>171990844.80936319</v>
      </c>
      <c r="C107" s="123">
        <f t="shared" si="106"/>
        <v>14332570.400780266</v>
      </c>
      <c r="D107" s="64">
        <v>29048962</v>
      </c>
      <c r="E107" s="64">
        <v>0</v>
      </c>
      <c r="F107" s="64">
        <v>6964204</v>
      </c>
      <c r="G107" s="64">
        <v>0</v>
      </c>
      <c r="H107" s="64">
        <v>2759981</v>
      </c>
      <c r="I107" s="64">
        <v>0</v>
      </c>
      <c r="J107" s="64">
        <v>8115676</v>
      </c>
      <c r="K107" s="64">
        <v>0</v>
      </c>
      <c r="L107" s="78">
        <v>1352197</v>
      </c>
      <c r="M107" s="78">
        <v>0</v>
      </c>
      <c r="N107" s="78">
        <v>0</v>
      </c>
      <c r="O107" s="78"/>
      <c r="P107" s="78">
        <f t="shared" si="107"/>
        <v>48241020</v>
      </c>
      <c r="Q107" s="170">
        <f t="shared" si="101"/>
        <v>0.28048597617780735</v>
      </c>
      <c r="R107" s="154"/>
      <c r="S107" s="77"/>
    </row>
    <row r="108" spans="1:19" x14ac:dyDescent="0.25">
      <c r="A108" s="36" t="s">
        <v>127</v>
      </c>
      <c r="B108" s="64">
        <v>162295282.47942358</v>
      </c>
      <c r="C108" s="123">
        <f t="shared" si="106"/>
        <v>13524606.873285299</v>
      </c>
      <c r="D108" s="64">
        <v>9312000</v>
      </c>
      <c r="E108" s="64">
        <v>7216500</v>
      </c>
      <c r="F108" s="64">
        <v>2258200</v>
      </c>
      <c r="G108" s="64">
        <v>778100</v>
      </c>
      <c r="H108" s="64">
        <v>5697800</v>
      </c>
      <c r="I108" s="64">
        <v>600000</v>
      </c>
      <c r="J108" s="64">
        <v>2520200</v>
      </c>
      <c r="K108" s="64">
        <v>11771294</v>
      </c>
      <c r="L108" s="78">
        <v>1736231</v>
      </c>
      <c r="M108" s="78">
        <v>8151080</v>
      </c>
      <c r="N108" s="78">
        <v>5561900</v>
      </c>
      <c r="O108" s="78">
        <v>4156900</v>
      </c>
      <c r="P108" s="78">
        <f t="shared" si="107"/>
        <v>59760205</v>
      </c>
      <c r="Q108" s="170">
        <f t="shared" si="101"/>
        <v>0.36821899002256353</v>
      </c>
      <c r="R108" s="154"/>
      <c r="S108" s="77"/>
    </row>
    <row r="109" spans="1:19" x14ac:dyDescent="0.25">
      <c r="A109" s="48" t="s">
        <v>128</v>
      </c>
      <c r="B109" s="48">
        <f t="shared" ref="B109:E109" si="108">SUM(B110:B112)</f>
        <v>345000000</v>
      </c>
      <c r="C109" s="48">
        <f t="shared" si="108"/>
        <v>28750000</v>
      </c>
      <c r="D109" s="124">
        <f t="shared" si="108"/>
        <v>30990</v>
      </c>
      <c r="E109" s="124">
        <f t="shared" si="108"/>
        <v>0</v>
      </c>
      <c r="F109" s="124">
        <f t="shared" ref="F109" si="109">SUM(F110:F112)</f>
        <v>1972000</v>
      </c>
      <c r="G109" s="124">
        <f t="shared" ref="G109:H109" si="110">SUM(G110:G112)</f>
        <v>3843834</v>
      </c>
      <c r="H109" s="124">
        <f t="shared" si="110"/>
        <v>2929726</v>
      </c>
      <c r="I109" s="124">
        <f t="shared" ref="I109:N109" si="111">SUM(I110:I112)</f>
        <v>3863863</v>
      </c>
      <c r="J109" s="124">
        <f t="shared" si="111"/>
        <v>3584284</v>
      </c>
      <c r="K109" s="48">
        <f t="shared" si="111"/>
        <v>3617490</v>
      </c>
      <c r="L109" s="48">
        <f>SUM(L110:L112)</f>
        <v>3616559</v>
      </c>
      <c r="M109" s="48">
        <f t="shared" si="111"/>
        <v>6511177</v>
      </c>
      <c r="N109" s="48">
        <f t="shared" si="111"/>
        <v>5296858</v>
      </c>
      <c r="O109" s="48">
        <f>SUM(O110:O112)</f>
        <v>10384576</v>
      </c>
      <c r="P109" s="48">
        <f>SUM(P110:P112)</f>
        <v>45651357</v>
      </c>
      <c r="Q109" s="170">
        <f t="shared" si="101"/>
        <v>0.13232277391304348</v>
      </c>
      <c r="R109" s="154"/>
    </row>
    <row r="110" spans="1:19" x14ac:dyDescent="0.25">
      <c r="A110" s="36" t="s">
        <v>129</v>
      </c>
      <c r="B110" s="64">
        <v>240000000</v>
      </c>
      <c r="C110" s="123">
        <f t="shared" ref="C110:C112" si="112">+B110/12</f>
        <v>20000000</v>
      </c>
      <c r="D110" s="64">
        <v>30990</v>
      </c>
      <c r="E110" s="64"/>
      <c r="F110" s="64">
        <v>1972000</v>
      </c>
      <c r="G110" s="64">
        <v>263834</v>
      </c>
      <c r="H110" s="64">
        <v>65726</v>
      </c>
      <c r="I110" s="64">
        <v>283863</v>
      </c>
      <c r="J110" s="64">
        <v>4284</v>
      </c>
      <c r="K110" s="64">
        <v>37490</v>
      </c>
      <c r="L110" s="78">
        <v>36559</v>
      </c>
      <c r="M110" s="78">
        <v>2931177</v>
      </c>
      <c r="N110" s="78">
        <v>1716858</v>
      </c>
      <c r="O110" s="78">
        <v>6804576</v>
      </c>
      <c r="P110" s="78">
        <f>+D110+E110+F110+G110+H110+I110+J110+K110+L110+M110+N110+O110</f>
        <v>14147357</v>
      </c>
      <c r="Q110" s="170">
        <f t="shared" si="101"/>
        <v>5.894732083333333E-2</v>
      </c>
      <c r="R110" s="154"/>
      <c r="S110" s="154"/>
    </row>
    <row r="111" spans="1:19" x14ac:dyDescent="0.25">
      <c r="A111" s="36" t="s">
        <v>130</v>
      </c>
      <c r="B111" s="64">
        <v>5000000</v>
      </c>
      <c r="C111" s="123">
        <f t="shared" si="112"/>
        <v>416666.66666666669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64">
        <v>0</v>
      </c>
      <c r="J111" s="64">
        <v>0</v>
      </c>
      <c r="K111" s="64"/>
      <c r="L111" s="64">
        <v>0</v>
      </c>
      <c r="M111" s="64"/>
      <c r="N111" s="64"/>
      <c r="O111" s="78"/>
      <c r="P111" s="78">
        <f t="shared" ref="P111:P112" si="113">+D111+E111+F111+G111+H111+I111+J111+K111+L111+M111+N111+O111</f>
        <v>0</v>
      </c>
      <c r="Q111" s="170">
        <f t="shared" si="101"/>
        <v>0</v>
      </c>
      <c r="R111" s="154"/>
      <c r="S111" s="154"/>
    </row>
    <row r="112" spans="1:19" x14ac:dyDescent="0.25">
      <c r="A112" s="36" t="s">
        <v>247</v>
      </c>
      <c r="B112" s="64">
        <v>100000000</v>
      </c>
      <c r="C112" s="123">
        <f t="shared" si="112"/>
        <v>8333333.333333333</v>
      </c>
      <c r="D112" s="78">
        <v>0</v>
      </c>
      <c r="E112" s="78">
        <v>0</v>
      </c>
      <c r="F112" s="78">
        <v>0</v>
      </c>
      <c r="G112" s="78">
        <v>3580000</v>
      </c>
      <c r="H112" s="78">
        <v>2864000</v>
      </c>
      <c r="I112" s="64">
        <v>3580000</v>
      </c>
      <c r="J112" s="64">
        <v>3580000</v>
      </c>
      <c r="K112" s="64">
        <v>3580000</v>
      </c>
      <c r="L112" s="78">
        <v>3580000</v>
      </c>
      <c r="M112" s="78">
        <v>3580000</v>
      </c>
      <c r="N112" s="78">
        <v>3580000</v>
      </c>
      <c r="O112" s="78">
        <v>3580000</v>
      </c>
      <c r="P112" s="78">
        <f t="shared" si="113"/>
        <v>31504000</v>
      </c>
      <c r="Q112" s="170">
        <f t="shared" si="101"/>
        <v>0.31503999999999999</v>
      </c>
      <c r="S112" s="187"/>
    </row>
    <row r="113" spans="1:19" x14ac:dyDescent="0.25">
      <c r="A113" s="48" t="s">
        <v>131</v>
      </c>
      <c r="B113" s="48">
        <f t="shared" ref="B113:E113" si="114">SUM(B114:B116)</f>
        <v>5717494458.0666981</v>
      </c>
      <c r="C113" s="48">
        <f t="shared" si="114"/>
        <v>476457871.50555825</v>
      </c>
      <c r="D113" s="124">
        <f t="shared" si="114"/>
        <v>373258857</v>
      </c>
      <c r="E113" s="124">
        <f t="shared" si="114"/>
        <v>380858269</v>
      </c>
      <c r="F113" s="124">
        <f t="shared" ref="F113" si="115">SUM(F114:F116)</f>
        <v>377246067</v>
      </c>
      <c r="G113" s="124">
        <f t="shared" ref="G113:H113" si="116">SUM(G114:G116)</f>
        <v>373925856</v>
      </c>
      <c r="H113" s="124">
        <f t="shared" si="116"/>
        <v>369741193</v>
      </c>
      <c r="I113" s="124">
        <f t="shared" ref="I113:N113" si="117">SUM(I114:I116)</f>
        <v>519947904</v>
      </c>
      <c r="J113" s="124">
        <f t="shared" si="117"/>
        <v>345091277</v>
      </c>
      <c r="K113" s="48">
        <f t="shared" si="117"/>
        <v>366424418</v>
      </c>
      <c r="L113" s="48">
        <f t="shared" si="117"/>
        <v>341869433</v>
      </c>
      <c r="M113" s="48">
        <f t="shared" si="117"/>
        <v>354866050</v>
      </c>
      <c r="N113" s="48">
        <f t="shared" si="117"/>
        <v>284523209</v>
      </c>
      <c r="O113" s="48">
        <f>SUM(O114:O116)</f>
        <v>275398447</v>
      </c>
      <c r="P113" s="48">
        <f>SUM(P114:P116)</f>
        <v>4363150980</v>
      </c>
      <c r="Q113" s="174">
        <f t="shared" si="101"/>
        <v>0.76312290497179547</v>
      </c>
      <c r="S113" s="187"/>
    </row>
    <row r="114" spans="1:19" x14ac:dyDescent="0.25">
      <c r="A114" s="36" t="s">
        <v>132</v>
      </c>
      <c r="B114" s="64">
        <v>0</v>
      </c>
      <c r="C114" s="123">
        <f t="shared" ref="C114:C116" si="118">+B114/12</f>
        <v>0</v>
      </c>
      <c r="D114" s="64">
        <v>11802</v>
      </c>
      <c r="E114" s="64">
        <v>8300289</v>
      </c>
      <c r="F114" s="64">
        <v>10336205</v>
      </c>
      <c r="G114" s="64">
        <v>10958978</v>
      </c>
      <c r="H114" s="64">
        <v>11725856</v>
      </c>
      <c r="I114" s="64">
        <v>12352875</v>
      </c>
      <c r="J114" s="64">
        <v>0</v>
      </c>
      <c r="K114" s="64">
        <v>22369107</v>
      </c>
      <c r="L114" s="64">
        <v>0</v>
      </c>
      <c r="M114" s="78">
        <v>12149021</v>
      </c>
      <c r="N114" s="78">
        <v>20698615</v>
      </c>
      <c r="O114" s="78">
        <v>10338168</v>
      </c>
      <c r="P114" s="78">
        <f>+D114+E114+F114+G114+H114+I114+J114+K114+L114+M114+N114+O114</f>
        <v>119240916</v>
      </c>
      <c r="Q114" s="202"/>
      <c r="R114" s="154"/>
      <c r="S114" s="154"/>
    </row>
    <row r="115" spans="1:19" x14ac:dyDescent="0.25">
      <c r="A115" s="36" t="s">
        <v>133</v>
      </c>
      <c r="B115" s="64">
        <v>56516972.25169123</v>
      </c>
      <c r="C115" s="123">
        <f t="shared" si="118"/>
        <v>4709747.6876409361</v>
      </c>
      <c r="D115" s="64">
        <v>9635974</v>
      </c>
      <c r="E115" s="64">
        <v>8946899</v>
      </c>
      <c r="F115" s="64">
        <v>8200401</v>
      </c>
      <c r="G115" s="64">
        <v>8713435</v>
      </c>
      <c r="H115" s="64">
        <v>8663514</v>
      </c>
      <c r="I115" s="64">
        <v>7236824</v>
      </c>
      <c r="J115" s="64">
        <v>9998712</v>
      </c>
      <c r="K115" s="64">
        <v>7625941</v>
      </c>
      <c r="L115" s="78">
        <v>9004877</v>
      </c>
      <c r="M115" s="78">
        <v>9406872</v>
      </c>
      <c r="N115" s="78">
        <v>8424853</v>
      </c>
      <c r="O115" s="78">
        <v>9660538</v>
      </c>
      <c r="P115" s="78">
        <f t="shared" ref="P115:P116" si="119">+D115+E115+F115+G115+H115+I115+J115+K115+L115+M115+N115+O115</f>
        <v>105518840</v>
      </c>
      <c r="Q115" s="170">
        <f t="shared" ref="Q115:Q129" si="120">+P115/((B115/12)*12)</f>
        <v>1.8670292444203327</v>
      </c>
      <c r="R115" s="154"/>
      <c r="S115" s="154"/>
    </row>
    <row r="116" spans="1:19" x14ac:dyDescent="0.25">
      <c r="A116" s="36" t="s">
        <v>134</v>
      </c>
      <c r="B116" s="64">
        <f>8087110694.02144*0.7</f>
        <v>5660977485.8150072</v>
      </c>
      <c r="C116" s="123">
        <f t="shared" si="118"/>
        <v>471748123.81791729</v>
      </c>
      <c r="D116" s="64">
        <v>363611081</v>
      </c>
      <c r="E116" s="64">
        <v>363611081</v>
      </c>
      <c r="F116" s="64">
        <v>358709461</v>
      </c>
      <c r="G116" s="64">
        <v>354253443</v>
      </c>
      <c r="H116" s="64">
        <v>349351823</v>
      </c>
      <c r="I116" s="64">
        <v>500358205</v>
      </c>
      <c r="J116" s="64">
        <v>335092565</v>
      </c>
      <c r="K116" s="64">
        <v>336429370</v>
      </c>
      <c r="L116" s="78">
        <v>332864556</v>
      </c>
      <c r="M116" s="78">
        <v>333310157</v>
      </c>
      <c r="N116" s="78">
        <v>255399741</v>
      </c>
      <c r="O116" s="78">
        <v>255399741</v>
      </c>
      <c r="P116" s="78">
        <f t="shared" si="119"/>
        <v>4138391224</v>
      </c>
      <c r="Q116" s="170">
        <f t="shared" si="120"/>
        <v>0.73103827640540398</v>
      </c>
      <c r="R116" s="154"/>
      <c r="S116" s="154"/>
    </row>
    <row r="117" spans="1:19" x14ac:dyDescent="0.25">
      <c r="A117" s="30" t="s">
        <v>39</v>
      </c>
      <c r="B117" s="45">
        <f t="shared" ref="B117:E117" si="121">SUM(B118:B120)</f>
        <v>205707757.66509444</v>
      </c>
      <c r="C117" s="45">
        <f t="shared" si="121"/>
        <v>17142313.13875787</v>
      </c>
      <c r="D117" s="132">
        <f t="shared" si="121"/>
        <v>172818492</v>
      </c>
      <c r="E117" s="132">
        <f t="shared" si="121"/>
        <v>490686</v>
      </c>
      <c r="F117" s="132">
        <f t="shared" ref="F117" si="122">SUM(F118:F120)</f>
        <v>524596</v>
      </c>
      <c r="G117" s="132">
        <f t="shared" ref="G117:H117" si="123">SUM(G118:G120)</f>
        <v>492964</v>
      </c>
      <c r="H117" s="132">
        <f t="shared" si="123"/>
        <v>177547167</v>
      </c>
      <c r="I117" s="132">
        <f t="shared" ref="I117:K117" si="124">SUM(I118:I120)</f>
        <v>1939256</v>
      </c>
      <c r="J117" s="132">
        <f t="shared" si="124"/>
        <v>514261</v>
      </c>
      <c r="K117" s="45">
        <f t="shared" si="124"/>
        <v>80796</v>
      </c>
      <c r="L117" s="45">
        <f>SUM(L118:L120)</f>
        <v>372323641</v>
      </c>
      <c r="M117" s="45">
        <f>SUM(M118:M120)</f>
        <v>655784</v>
      </c>
      <c r="N117" s="45">
        <f>SUM(N118:N120)</f>
        <v>2743997</v>
      </c>
      <c r="O117" s="45">
        <f>SUM(O118:O120)</f>
        <v>153597680</v>
      </c>
      <c r="P117" s="45">
        <f>SUM(P118:P120)</f>
        <v>883729320</v>
      </c>
      <c r="Q117" s="203">
        <f t="shared" si="120"/>
        <v>4.2960427454504106</v>
      </c>
      <c r="S117" s="154"/>
    </row>
    <row r="118" spans="1:19" x14ac:dyDescent="0.25">
      <c r="A118" s="36" t="s">
        <v>261</v>
      </c>
      <c r="B118" s="64">
        <v>141919.62358559968</v>
      </c>
      <c r="C118" s="123">
        <f t="shared" ref="C118:C120" si="125">+B118/12</f>
        <v>11826.635298799973</v>
      </c>
      <c r="D118" s="64">
        <v>454992</v>
      </c>
      <c r="E118" s="64">
        <v>490686</v>
      </c>
      <c r="F118" s="64">
        <v>524596</v>
      </c>
      <c r="G118" s="64">
        <v>492964</v>
      </c>
      <c r="H118" s="64">
        <v>495087</v>
      </c>
      <c r="I118" s="64">
        <v>1939256</v>
      </c>
      <c r="J118" s="64">
        <v>514261</v>
      </c>
      <c r="K118" s="64">
        <v>80796</v>
      </c>
      <c r="L118" s="78">
        <v>3465141</v>
      </c>
      <c r="M118" s="78">
        <v>528884</v>
      </c>
      <c r="N118" s="78">
        <v>530846</v>
      </c>
      <c r="O118" s="78">
        <v>972286</v>
      </c>
      <c r="P118" s="78">
        <f>+D118+E118+F118+G118+H118+I118+J118+K118+L118+M118+N118+O118</f>
        <v>10489795</v>
      </c>
      <c r="Q118" s="202">
        <f t="shared" si="120"/>
        <v>73.913633188809982</v>
      </c>
      <c r="R118" s="154"/>
      <c r="S118" s="77"/>
    </row>
    <row r="119" spans="1:19" x14ac:dyDescent="0.25">
      <c r="A119" s="91" t="s">
        <v>321</v>
      </c>
      <c r="B119" s="64">
        <v>5565838.0415088264</v>
      </c>
      <c r="C119" s="123">
        <f t="shared" si="125"/>
        <v>463819.8367924022</v>
      </c>
      <c r="D119" s="64">
        <v>0</v>
      </c>
      <c r="E119" s="64">
        <v>0</v>
      </c>
      <c r="F119" s="64"/>
      <c r="G119" s="64">
        <v>0</v>
      </c>
      <c r="H119" s="64"/>
      <c r="I119" s="64">
        <v>0</v>
      </c>
      <c r="J119" s="64">
        <v>0</v>
      </c>
      <c r="K119" s="64"/>
      <c r="L119" s="78">
        <v>368858500</v>
      </c>
      <c r="M119" s="78">
        <v>0</v>
      </c>
      <c r="N119" s="78">
        <v>2213151</v>
      </c>
      <c r="O119" s="78">
        <v>152625394</v>
      </c>
      <c r="P119" s="78">
        <f t="shared" ref="P119:P120" si="126">+D119+E119+F119+G119+H119+I119+J119+K119+L119+M119+N119+O119</f>
        <v>523697045</v>
      </c>
      <c r="Q119" s="202">
        <f t="shared" si="120"/>
        <v>94.091319419354235</v>
      </c>
      <c r="R119" s="184"/>
    </row>
    <row r="120" spans="1:19" x14ac:dyDescent="0.25">
      <c r="A120" s="36" t="s">
        <v>351</v>
      </c>
      <c r="B120" s="64">
        <v>200000000</v>
      </c>
      <c r="C120" s="123">
        <f t="shared" si="125"/>
        <v>16666666.666666666</v>
      </c>
      <c r="D120" s="64">
        <v>172363500</v>
      </c>
      <c r="E120" s="64">
        <v>0</v>
      </c>
      <c r="F120" s="64"/>
      <c r="G120" s="64">
        <v>0</v>
      </c>
      <c r="H120" s="64">
        <v>177052080</v>
      </c>
      <c r="I120" s="64">
        <v>0</v>
      </c>
      <c r="J120" s="64">
        <v>0</v>
      </c>
      <c r="K120" s="64"/>
      <c r="L120" s="64">
        <v>0</v>
      </c>
      <c r="M120" s="78">
        <v>126900</v>
      </c>
      <c r="N120" s="78">
        <v>0</v>
      </c>
      <c r="O120" s="78">
        <v>0</v>
      </c>
      <c r="P120" s="78">
        <f t="shared" si="126"/>
        <v>349542480</v>
      </c>
      <c r="Q120" s="202">
        <f t="shared" si="120"/>
        <v>1.7477123999999999</v>
      </c>
      <c r="R120" s="154"/>
    </row>
    <row r="121" spans="1:19" x14ac:dyDescent="0.25">
      <c r="A121" s="30" t="s">
        <v>40</v>
      </c>
      <c r="B121" s="45">
        <f t="shared" ref="B121:E121" si="127">+B122+B126+B130</f>
        <v>12505811016.510122</v>
      </c>
      <c r="C121" s="45">
        <f t="shared" si="127"/>
        <v>1042150918.0425102</v>
      </c>
      <c r="D121" s="132">
        <f t="shared" si="127"/>
        <v>251092629</v>
      </c>
      <c r="E121" s="132">
        <f t="shared" si="127"/>
        <v>390491975</v>
      </c>
      <c r="F121" s="132">
        <f t="shared" ref="F121" si="128">+F122+F126+F130</f>
        <v>503882313.36026853</v>
      </c>
      <c r="G121" s="132">
        <f t="shared" ref="G121:H121" si="129">+G122+G126+G130</f>
        <v>403265673.63973147</v>
      </c>
      <c r="H121" s="132">
        <f t="shared" si="129"/>
        <v>400249097</v>
      </c>
      <c r="I121" s="132">
        <f t="shared" ref="I121:K121" si="130">+I122+I126+I130</f>
        <v>243629972</v>
      </c>
      <c r="J121" s="132">
        <f t="shared" si="130"/>
        <v>1182099439</v>
      </c>
      <c r="K121" s="45">
        <f t="shared" si="130"/>
        <v>438740251</v>
      </c>
      <c r="L121" s="45">
        <f>+L122+L126+L130</f>
        <v>467346079</v>
      </c>
      <c r="M121" s="45">
        <f>+M122+M126+M130</f>
        <v>335929868</v>
      </c>
      <c r="N121" s="45">
        <f>+N122+N126+N130</f>
        <v>525728952</v>
      </c>
      <c r="O121" s="45">
        <f>+O122+O126+O130</f>
        <v>450257870</v>
      </c>
      <c r="P121" s="45">
        <f>+P122+P126+P130</f>
        <v>5592714119</v>
      </c>
      <c r="Q121" s="169">
        <f t="shared" si="120"/>
        <v>0.44720923030233872</v>
      </c>
      <c r="R121" s="154"/>
      <c r="S121" s="77"/>
    </row>
    <row r="122" spans="1:19" x14ac:dyDescent="0.25">
      <c r="A122" s="48" t="s">
        <v>257</v>
      </c>
      <c r="B122" s="48">
        <f t="shared" ref="B122:E122" si="131">SUM(B123:B125)</f>
        <v>289910135.25556928</v>
      </c>
      <c r="C122" s="48">
        <f t="shared" si="131"/>
        <v>24159177.937964104</v>
      </c>
      <c r="D122" s="124">
        <f t="shared" si="131"/>
        <v>245133</v>
      </c>
      <c r="E122" s="124">
        <f t="shared" si="131"/>
        <v>80956504</v>
      </c>
      <c r="F122" s="124">
        <f t="shared" ref="F122" si="132">SUM(F123:F125)</f>
        <v>12226970</v>
      </c>
      <c r="G122" s="124">
        <f t="shared" ref="G122:H122" si="133">SUM(G123:G125)</f>
        <v>18001518</v>
      </c>
      <c r="H122" s="124">
        <f t="shared" si="133"/>
        <v>24493361</v>
      </c>
      <c r="I122" s="124">
        <f t="shared" ref="I122:L122" si="134">SUM(I123:I125)</f>
        <v>10807421</v>
      </c>
      <c r="J122" s="124">
        <f t="shared" si="134"/>
        <v>50091826</v>
      </c>
      <c r="K122" s="48">
        <f t="shared" ref="K122" si="135">SUM(K123:K125)</f>
        <v>20216430</v>
      </c>
      <c r="L122" s="48">
        <f t="shared" si="134"/>
        <v>16998638</v>
      </c>
      <c r="M122" s="48">
        <f>SUM(M123:M125)</f>
        <v>22330844</v>
      </c>
      <c r="N122" s="48">
        <f>SUM(N123:N125)</f>
        <v>21059970</v>
      </c>
      <c r="O122" s="48">
        <f>SUM(O123:O125)</f>
        <v>116112463</v>
      </c>
      <c r="P122" s="48">
        <f>SUM(P123:P125)</f>
        <v>393541078</v>
      </c>
      <c r="Q122" s="169">
        <f t="shared" si="120"/>
        <v>1.3574588472151041</v>
      </c>
    </row>
    <row r="123" spans="1:19" x14ac:dyDescent="0.25">
      <c r="A123" s="36" t="s">
        <v>138</v>
      </c>
      <c r="B123" s="64">
        <v>177881996.26422778</v>
      </c>
      <c r="C123" s="123">
        <f t="shared" ref="C123:C125" si="136">+B123/12</f>
        <v>14823499.688685648</v>
      </c>
      <c r="D123" s="64">
        <v>226100</v>
      </c>
      <c r="E123" s="64">
        <v>17960039</v>
      </c>
      <c r="F123" s="64">
        <v>9892636</v>
      </c>
      <c r="G123" s="64">
        <v>17895415</v>
      </c>
      <c r="H123" s="64">
        <v>24473157</v>
      </c>
      <c r="I123" s="64">
        <v>10787217</v>
      </c>
      <c r="J123" s="64">
        <v>50071623</v>
      </c>
      <c r="K123" s="64">
        <v>20202441</v>
      </c>
      <c r="L123" s="78">
        <v>16978749</v>
      </c>
      <c r="M123" s="78">
        <v>22316855</v>
      </c>
      <c r="N123" s="78">
        <v>21045981</v>
      </c>
      <c r="O123" s="78">
        <v>21693226</v>
      </c>
      <c r="P123" s="78">
        <f>+D123+E123+F123+G123+H123+I123+J123+K123+L123+M123+N123+O123</f>
        <v>233543439</v>
      </c>
      <c r="Q123" s="170">
        <f t="shared" si="120"/>
        <v>1.3129121772002836</v>
      </c>
      <c r="R123" s="168"/>
      <c r="S123" s="77"/>
    </row>
    <row r="124" spans="1:19" x14ac:dyDescent="0.25">
      <c r="A124" s="36" t="s">
        <v>139</v>
      </c>
      <c r="B124" s="64">
        <v>64000000</v>
      </c>
      <c r="C124" s="123">
        <f t="shared" si="136"/>
        <v>5333333.333333333</v>
      </c>
      <c r="D124" s="64">
        <v>19033</v>
      </c>
      <c r="E124" s="64">
        <v>62996465</v>
      </c>
      <c r="F124" s="64">
        <v>2334334</v>
      </c>
      <c r="G124" s="64">
        <v>20203</v>
      </c>
      <c r="H124" s="64">
        <v>20204</v>
      </c>
      <c r="I124" s="64">
        <v>20204</v>
      </c>
      <c r="J124" s="64">
        <v>20203</v>
      </c>
      <c r="K124" s="64">
        <v>13989</v>
      </c>
      <c r="L124" s="78">
        <v>13989</v>
      </c>
      <c r="M124" s="78">
        <v>13989</v>
      </c>
      <c r="N124" s="78">
        <v>13989</v>
      </c>
      <c r="O124" s="78">
        <v>94419237</v>
      </c>
      <c r="P124" s="78">
        <f t="shared" ref="P124:P125" si="137">+D124+E124+F124+G124+H124+I124+J124+K124+L124+M124+N124+O124</f>
        <v>159905839</v>
      </c>
      <c r="Q124" s="170">
        <f t="shared" si="120"/>
        <v>2.4985287343749998</v>
      </c>
      <c r="R124" s="154"/>
      <c r="S124" s="77"/>
    </row>
    <row r="125" spans="1:19" x14ac:dyDescent="0.25">
      <c r="A125" s="36" t="s">
        <v>140</v>
      </c>
      <c r="B125" s="64">
        <v>48028138.991341494</v>
      </c>
      <c r="C125" s="123">
        <f t="shared" si="136"/>
        <v>4002344.9159451243</v>
      </c>
      <c r="D125" s="64">
        <v>0</v>
      </c>
      <c r="E125" s="64">
        <v>0</v>
      </c>
      <c r="F125" s="64">
        <v>0</v>
      </c>
      <c r="G125" s="64">
        <v>85900</v>
      </c>
      <c r="H125" s="64">
        <v>0</v>
      </c>
      <c r="I125" s="64">
        <v>0</v>
      </c>
      <c r="J125" s="64">
        <v>0</v>
      </c>
      <c r="K125" s="64"/>
      <c r="L125" s="78">
        <v>5900</v>
      </c>
      <c r="M125" s="78">
        <v>0</v>
      </c>
      <c r="N125" s="78">
        <v>0</v>
      </c>
      <c r="O125" s="78"/>
      <c r="P125" s="78">
        <f t="shared" si="137"/>
        <v>91800</v>
      </c>
      <c r="Q125" s="183">
        <f t="shared" si="120"/>
        <v>1.9113794939368709E-3</v>
      </c>
      <c r="R125" s="154"/>
      <c r="S125" s="77"/>
    </row>
    <row r="126" spans="1:19" x14ac:dyDescent="0.25">
      <c r="A126" s="48" t="s">
        <v>41</v>
      </c>
      <c r="B126" s="48">
        <f t="shared" ref="B126:E126" si="138">SUM(B127:B131)</f>
        <v>12215900881.254553</v>
      </c>
      <c r="C126" s="48">
        <f t="shared" si="138"/>
        <v>1017991740.1045461</v>
      </c>
      <c r="D126" s="124">
        <f t="shared" si="138"/>
        <v>250847496</v>
      </c>
      <c r="E126" s="124">
        <f t="shared" si="138"/>
        <v>309535471</v>
      </c>
      <c r="F126" s="124">
        <f t="shared" ref="F126" si="139">SUM(F127:F131)</f>
        <v>491655343.36026853</v>
      </c>
      <c r="G126" s="124">
        <f t="shared" ref="G126:H126" si="140">SUM(G127:G131)</f>
        <v>385264155.63973147</v>
      </c>
      <c r="H126" s="124">
        <f t="shared" si="140"/>
        <v>375755736</v>
      </c>
      <c r="I126" s="124">
        <f t="shared" ref="I126:N126" si="141">SUM(I127:I131)</f>
        <v>232822551</v>
      </c>
      <c r="J126" s="124">
        <f t="shared" si="141"/>
        <v>1132007613</v>
      </c>
      <c r="K126" s="48">
        <f t="shared" si="141"/>
        <v>418523821</v>
      </c>
      <c r="L126" s="48">
        <f t="shared" si="141"/>
        <v>450347441</v>
      </c>
      <c r="M126" s="48">
        <f t="shared" si="141"/>
        <v>313599024</v>
      </c>
      <c r="N126" s="48">
        <f t="shared" si="141"/>
        <v>504668982</v>
      </c>
      <c r="O126" s="48">
        <f>SUM(O127:O131)</f>
        <v>334145407</v>
      </c>
      <c r="P126" s="48">
        <f>SUM(P127:P131)</f>
        <v>5199173041</v>
      </c>
      <c r="Q126" s="174">
        <f t="shared" si="120"/>
        <v>0.42560700938382645</v>
      </c>
    </row>
    <row r="127" spans="1:19" x14ac:dyDescent="0.25">
      <c r="A127" s="36" t="s">
        <v>141</v>
      </c>
      <c r="B127" s="64">
        <v>282326581.54583251</v>
      </c>
      <c r="C127" s="123">
        <f t="shared" ref="C127:C129" si="142">+B127/12</f>
        <v>23527215.128819376</v>
      </c>
      <c r="D127" s="64">
        <v>10769148</v>
      </c>
      <c r="E127" s="64">
        <v>9158462</v>
      </c>
      <c r="F127" s="64">
        <v>9158988</v>
      </c>
      <c r="G127" s="64">
        <v>9159184</v>
      </c>
      <c r="H127" s="64">
        <v>9158742</v>
      </c>
      <c r="I127" s="64">
        <v>9180761</v>
      </c>
      <c r="J127" s="64">
        <v>9051285</v>
      </c>
      <c r="K127" s="64">
        <v>8718984</v>
      </c>
      <c r="L127" s="78">
        <v>19729250</v>
      </c>
      <c r="M127" s="78">
        <v>8811454</v>
      </c>
      <c r="N127" s="78">
        <v>8791779</v>
      </c>
      <c r="O127" s="78">
        <v>8408481</v>
      </c>
      <c r="P127" s="78">
        <f>+D127+E127+F127+G127+H127+I127+J127+K127+L127+M127+N127+O127</f>
        <v>120096518</v>
      </c>
      <c r="Q127" s="170">
        <f t="shared" si="120"/>
        <v>0.42538154693912056</v>
      </c>
      <c r="R127" s="154"/>
      <c r="S127" s="77"/>
    </row>
    <row r="128" spans="1:19" x14ac:dyDescent="0.25">
      <c r="A128" s="36" t="s">
        <v>157</v>
      </c>
      <c r="B128" s="64">
        <f>14666967874.6359*0.8</f>
        <v>11733574299.708721</v>
      </c>
      <c r="C128" s="123">
        <f t="shared" si="142"/>
        <v>977797858.3090601</v>
      </c>
      <c r="D128" s="78">
        <v>240050322</v>
      </c>
      <c r="E128" s="78">
        <v>300351349</v>
      </c>
      <c r="F128" s="78">
        <v>382066656</v>
      </c>
      <c r="G128" s="78">
        <v>372229387</v>
      </c>
      <c r="H128" s="78">
        <v>324393492</v>
      </c>
      <c r="I128" s="78">
        <v>235477511</v>
      </c>
      <c r="J128" s="78">
        <v>423594515</v>
      </c>
      <c r="K128" s="64">
        <v>451766238</v>
      </c>
      <c r="L128" s="78">
        <v>397054168</v>
      </c>
      <c r="M128" s="78">
        <v>400883229</v>
      </c>
      <c r="N128" s="78">
        <v>439646611</v>
      </c>
      <c r="O128" s="78">
        <v>287868757</v>
      </c>
      <c r="P128" s="78">
        <f t="shared" ref="P128:P131" si="143">+D128+E128+F128+G128+H128+I128+J128+K128+L128+M128+N128+O128</f>
        <v>4255382235</v>
      </c>
      <c r="Q128" s="170">
        <f t="shared" si="120"/>
        <v>0.36266717423910949</v>
      </c>
      <c r="R128" s="154"/>
      <c r="S128" s="77"/>
    </row>
    <row r="129" spans="1:21" x14ac:dyDescent="0.25">
      <c r="A129" s="36" t="s">
        <v>156</v>
      </c>
      <c r="B129" s="64">
        <v>200000000</v>
      </c>
      <c r="C129" s="123">
        <f t="shared" si="142"/>
        <v>16666666.666666666</v>
      </c>
      <c r="D129" s="78">
        <v>28026</v>
      </c>
      <c r="E129" s="78">
        <f>13858+11802</f>
        <v>25660</v>
      </c>
      <c r="F129" s="78">
        <v>100429699.36026853</v>
      </c>
      <c r="G129" s="78">
        <v>3875584.6397314668</v>
      </c>
      <c r="H129" s="78">
        <v>42203502</v>
      </c>
      <c r="I129" s="78">
        <v>-11835721</v>
      </c>
      <c r="J129" s="78">
        <v>699361813</v>
      </c>
      <c r="K129" s="64">
        <v>-41961401</v>
      </c>
      <c r="L129" s="78">
        <v>33564023</v>
      </c>
      <c r="M129" s="78">
        <v>-96095659</v>
      </c>
      <c r="N129" s="78">
        <v>56230592</v>
      </c>
      <c r="O129" s="78">
        <v>37868169</v>
      </c>
      <c r="P129" s="78">
        <f>+D129+E129+F129+G129+H129+I129+J129+K129+L129+M129+N129+O129</f>
        <v>823694288</v>
      </c>
      <c r="Q129" s="170">
        <f t="shared" si="120"/>
        <v>4.1184714400000004</v>
      </c>
      <c r="S129" s="77"/>
    </row>
    <row r="130" spans="1:21" ht="18" customHeight="1" x14ac:dyDescent="0.25">
      <c r="A130" s="48" t="s">
        <v>42</v>
      </c>
      <c r="B130" s="64">
        <f>+B131</f>
        <v>0</v>
      </c>
      <c r="C130" s="64">
        <f>+C131</f>
        <v>0</v>
      </c>
      <c r="D130" s="65"/>
      <c r="E130" s="65"/>
      <c r="F130" s="65"/>
      <c r="G130" s="65"/>
      <c r="H130" s="65"/>
      <c r="I130" s="65"/>
      <c r="J130" s="65"/>
      <c r="K130" s="64"/>
      <c r="L130" s="64"/>
      <c r="M130" s="78"/>
      <c r="N130" s="78"/>
      <c r="O130" s="78"/>
      <c r="P130" s="78">
        <f t="shared" si="143"/>
        <v>0</v>
      </c>
      <c r="Q130" s="170"/>
    </row>
    <row r="131" spans="1:21" x14ac:dyDescent="0.25">
      <c r="A131" s="36" t="s">
        <v>158</v>
      </c>
      <c r="B131" s="64">
        <v>0</v>
      </c>
      <c r="C131" s="123">
        <f t="shared" ref="C131" si="144">+B131/12</f>
        <v>0</v>
      </c>
      <c r="D131" s="65"/>
      <c r="E131" s="65"/>
      <c r="F131" s="65"/>
      <c r="G131" s="65"/>
      <c r="H131" s="65"/>
      <c r="I131" s="65"/>
      <c r="J131" s="65"/>
      <c r="K131" s="64"/>
      <c r="L131" s="64"/>
      <c r="M131" s="64"/>
      <c r="N131" s="64"/>
      <c r="O131" s="78"/>
      <c r="P131" s="78">
        <f t="shared" si="143"/>
        <v>0</v>
      </c>
      <c r="Q131" s="170"/>
    </row>
    <row r="132" spans="1:21" x14ac:dyDescent="0.25">
      <c r="A132" s="30" t="s">
        <v>142</v>
      </c>
      <c r="B132" s="45">
        <f t="shared" ref="B132:K132" si="145">B133+B179+B185+B187</f>
        <v>1507108484309.844</v>
      </c>
      <c r="C132" s="45">
        <f t="shared" si="145"/>
        <v>125592373692.48701</v>
      </c>
      <c r="D132" s="132">
        <f t="shared" si="145"/>
        <v>143862666258</v>
      </c>
      <c r="E132" s="132">
        <f t="shared" si="145"/>
        <v>133308814381</v>
      </c>
      <c r="F132" s="132">
        <f t="shared" si="145"/>
        <v>152391435919</v>
      </c>
      <c r="G132" s="132">
        <f t="shared" si="145"/>
        <v>126619188646</v>
      </c>
      <c r="H132" s="132">
        <f t="shared" si="145"/>
        <v>89074057409</v>
      </c>
      <c r="I132" s="132">
        <f t="shared" si="145"/>
        <v>126578074857</v>
      </c>
      <c r="J132" s="132">
        <f t="shared" si="145"/>
        <v>116463937367</v>
      </c>
      <c r="K132" s="45">
        <f t="shared" si="145"/>
        <v>134027627607</v>
      </c>
      <c r="L132" s="45">
        <f>L133+L179+L185+L187</f>
        <v>145282733763</v>
      </c>
      <c r="M132" s="45">
        <f>M133+M179+M185+M187</f>
        <v>137405226512</v>
      </c>
      <c r="N132" s="45">
        <f>N133+N179+N185+N187</f>
        <v>147948159082</v>
      </c>
      <c r="O132" s="45">
        <f>O133+O179+O185+O187</f>
        <v>149732104285</v>
      </c>
      <c r="P132" s="45">
        <f>P133+P179+P185+P187</f>
        <v>1602694026086</v>
      </c>
      <c r="Q132" s="169">
        <f t="shared" ref="Q132:Q168" si="146">+P132/((B132/12)*12)</f>
        <v>1.063423132953782</v>
      </c>
      <c r="R132" s="154"/>
      <c r="S132" s="77"/>
    </row>
    <row r="133" spans="1:21" s="119" customFormat="1" ht="15.75" x14ac:dyDescent="0.25">
      <c r="A133" s="53" t="s">
        <v>143</v>
      </c>
      <c r="B133" s="54">
        <f t="shared" ref="B133:K133" si="147">+B134</f>
        <v>1429918850131.2</v>
      </c>
      <c r="C133" s="54">
        <f t="shared" si="147"/>
        <v>119159904177.60001</v>
      </c>
      <c r="D133" s="134">
        <f t="shared" si="147"/>
        <v>117379249462</v>
      </c>
      <c r="E133" s="134">
        <f t="shared" si="147"/>
        <v>130806062922</v>
      </c>
      <c r="F133" s="134">
        <f t="shared" si="147"/>
        <v>154063239477</v>
      </c>
      <c r="G133" s="134">
        <f t="shared" si="147"/>
        <v>122067396370</v>
      </c>
      <c r="H133" s="134">
        <f t="shared" si="147"/>
        <v>87378536839</v>
      </c>
      <c r="I133" s="134">
        <f t="shared" si="147"/>
        <v>120843369032</v>
      </c>
      <c r="J133" s="134">
        <f t="shared" si="147"/>
        <v>109539389761</v>
      </c>
      <c r="K133" s="54">
        <f t="shared" si="147"/>
        <v>129714273648</v>
      </c>
      <c r="L133" s="54">
        <f>+L134</f>
        <v>112173692433</v>
      </c>
      <c r="M133" s="54">
        <f>+M134</f>
        <v>155120372826</v>
      </c>
      <c r="N133" s="54">
        <f>+N134</f>
        <v>119681810331</v>
      </c>
      <c r="O133" s="54">
        <f>+O134</f>
        <v>107085157312</v>
      </c>
      <c r="P133" s="54">
        <f>+P134</f>
        <v>1465852550413</v>
      </c>
      <c r="Q133" s="171">
        <f t="shared" si="146"/>
        <v>1.0251298878104187</v>
      </c>
      <c r="R133" s="159"/>
      <c r="S133" s="181"/>
      <c r="T133" s="217"/>
      <c r="U133" s="222"/>
    </row>
    <row r="134" spans="1:21" x14ac:dyDescent="0.25">
      <c r="A134" s="127" t="s">
        <v>232</v>
      </c>
      <c r="B134" s="127">
        <f>+B135+B139+B151+B154+B164+B167+B169+B171</f>
        <v>1429918850131.2</v>
      </c>
      <c r="C134" s="127">
        <f t="shared" ref="C134:E134" si="148">+C135+C139+C151+C154+C164+C167+C169+C171</f>
        <v>119159904177.60001</v>
      </c>
      <c r="D134" s="124">
        <f t="shared" si="148"/>
        <v>117379249462</v>
      </c>
      <c r="E134" s="124">
        <f t="shared" si="148"/>
        <v>130806062922</v>
      </c>
      <c r="F134" s="124">
        <f t="shared" ref="F134" si="149">+F135+F139+F151+F154+F164+F167+F169+F171</f>
        <v>154063239477</v>
      </c>
      <c r="G134" s="124">
        <f t="shared" ref="G134:H134" si="150">+G135+G139+G151+G154+G164+G167+G169+G171</f>
        <v>122067396370</v>
      </c>
      <c r="H134" s="124">
        <f t="shared" si="150"/>
        <v>87378536839</v>
      </c>
      <c r="I134" s="124">
        <f t="shared" ref="I134:K134" si="151">+I135+I139+I151+I154+I164+I167+I169+I171</f>
        <v>120843369032</v>
      </c>
      <c r="J134" s="124">
        <f t="shared" si="151"/>
        <v>109539389761</v>
      </c>
      <c r="K134" s="127">
        <f t="shared" si="151"/>
        <v>129714273648</v>
      </c>
      <c r="L134" s="127">
        <f>+L135+L139+L151+L154+L164+L167+L169+L171</f>
        <v>112173692433</v>
      </c>
      <c r="M134" s="127">
        <f>+M135+M139+M151+M154+M164+M167+M169+M171</f>
        <v>155120372826</v>
      </c>
      <c r="N134" s="127">
        <f>+N135+N139+N151+N154+N164+N167+N169+N171</f>
        <v>119681810331</v>
      </c>
      <c r="O134" s="127">
        <f>+O135+O139+O151+O154+O164+O167+O169+O171</f>
        <v>107085157312</v>
      </c>
      <c r="P134" s="127">
        <f>+P135+P139+P151+P154+P164+P167+P169+P171</f>
        <v>1465852550413</v>
      </c>
      <c r="Q134" s="174">
        <f t="shared" si="146"/>
        <v>1.0251298878104187</v>
      </c>
      <c r="R134" s="159"/>
      <c r="S134" s="139"/>
    </row>
    <row r="135" spans="1:21" x14ac:dyDescent="0.25">
      <c r="A135" s="121" t="s">
        <v>155</v>
      </c>
      <c r="B135" s="128">
        <f t="shared" ref="B135:E135" si="152">SUM(B136:B138)</f>
        <v>612000000000</v>
      </c>
      <c r="C135" s="128">
        <f t="shared" si="152"/>
        <v>51000000000</v>
      </c>
      <c r="D135" s="124">
        <f t="shared" si="152"/>
        <v>37170473682</v>
      </c>
      <c r="E135" s="124">
        <f t="shared" si="152"/>
        <v>38641964125</v>
      </c>
      <c r="F135" s="124">
        <f t="shared" ref="F135" si="153">SUM(F136:F138)</f>
        <v>45203721281</v>
      </c>
      <c r="G135" s="124">
        <f t="shared" ref="G135" si="154">SUM(G136:G138)</f>
        <v>44928525062</v>
      </c>
      <c r="H135" s="124">
        <f t="shared" ref="H135:L135" si="155">SUM(H136:H138)</f>
        <v>44913475453</v>
      </c>
      <c r="I135" s="124">
        <f t="shared" si="155"/>
        <v>44792707962</v>
      </c>
      <c r="J135" s="124">
        <f t="shared" si="155"/>
        <v>44903655633</v>
      </c>
      <c r="K135" s="128">
        <f t="shared" si="155"/>
        <v>44706487222</v>
      </c>
      <c r="L135" s="128">
        <f t="shared" si="155"/>
        <v>46903041179</v>
      </c>
      <c r="M135" s="128">
        <f>SUM(M136:M138)</f>
        <v>41421966153</v>
      </c>
      <c r="N135" s="128">
        <f>SUM(N136:N138)</f>
        <v>39482728365</v>
      </c>
      <c r="O135" s="128">
        <f>SUM(O136:O138)</f>
        <v>39274337333</v>
      </c>
      <c r="P135" s="128">
        <f>SUM(P136:P138)</f>
        <v>512343083450</v>
      </c>
      <c r="Q135" s="174">
        <f t="shared" si="146"/>
        <v>0.83716190106209154</v>
      </c>
      <c r="R135" s="159"/>
    </row>
    <row r="136" spans="1:21" x14ac:dyDescent="0.25">
      <c r="A136" s="122" t="s">
        <v>173</v>
      </c>
      <c r="B136" s="110">
        <v>15600000000</v>
      </c>
      <c r="C136" s="123">
        <f t="shared" ref="C136:C150" si="156">+B136/12</f>
        <v>1300000000</v>
      </c>
      <c r="D136" s="137">
        <v>0</v>
      </c>
      <c r="E136" s="137">
        <v>1644564169</v>
      </c>
      <c r="F136" s="137">
        <v>1666820414</v>
      </c>
      <c r="G136" s="137">
        <v>1685550605</v>
      </c>
      <c r="H136" s="137">
        <v>1749727479</v>
      </c>
      <c r="I136" s="137">
        <v>1773704783</v>
      </c>
      <c r="J136" s="137">
        <v>1733419387</v>
      </c>
      <c r="K136" s="110">
        <v>1901110325</v>
      </c>
      <c r="L136" s="110">
        <v>1912979542</v>
      </c>
      <c r="M136" s="110">
        <v>3862671366</v>
      </c>
      <c r="N136" s="110">
        <v>1921686252</v>
      </c>
      <c r="O136" s="110">
        <v>1921888577</v>
      </c>
      <c r="P136" s="110">
        <f>+D136+E136+F136+G136+H136+I136+J136+K136+L136+M136+N136+O136</f>
        <v>21774122899</v>
      </c>
      <c r="Q136" s="170">
        <f t="shared" si="146"/>
        <v>1.3957771089102564</v>
      </c>
      <c r="R136" s="154"/>
      <c r="S136" s="77"/>
    </row>
    <row r="137" spans="1:21" x14ac:dyDescent="0.25">
      <c r="A137" s="122" t="s">
        <v>265</v>
      </c>
      <c r="B137" s="123">
        <v>276000000000</v>
      </c>
      <c r="C137" s="123">
        <f t="shared" si="156"/>
        <v>23000000000</v>
      </c>
      <c r="D137" s="78">
        <v>9455771048</v>
      </c>
      <c r="E137" s="78">
        <v>9331037430</v>
      </c>
      <c r="F137" s="78">
        <v>16085072601</v>
      </c>
      <c r="G137" s="78">
        <v>15915364805</v>
      </c>
      <c r="H137" s="78">
        <v>15837312005</v>
      </c>
      <c r="I137" s="78">
        <v>15694871402</v>
      </c>
      <c r="J137" s="78">
        <v>15568246757</v>
      </c>
      <c r="K137" s="123">
        <v>15623693229</v>
      </c>
      <c r="L137" s="123">
        <v>17532843319</v>
      </c>
      <c r="M137" s="212">
        <v>10325061415</v>
      </c>
      <c r="N137" s="212">
        <v>10302421850</v>
      </c>
      <c r="O137" s="212">
        <v>10325044873</v>
      </c>
      <c r="P137" s="110">
        <f t="shared" ref="P137:P138" si="157">+D137+E137+F137+G137+H137+I137+J137+K137+L137+M137+N137+O137</f>
        <v>161996740734</v>
      </c>
      <c r="Q137" s="170">
        <f t="shared" si="146"/>
        <v>0.58694471280434779</v>
      </c>
      <c r="R137" s="154"/>
      <c r="S137" s="77"/>
    </row>
    <row r="138" spans="1:21" x14ac:dyDescent="0.25">
      <c r="A138" s="122" t="s">
        <v>264</v>
      </c>
      <c r="B138" s="110">
        <v>320400000000</v>
      </c>
      <c r="C138" s="123">
        <f t="shared" si="156"/>
        <v>26700000000</v>
      </c>
      <c r="D138" s="78">
        <v>27714702634</v>
      </c>
      <c r="E138" s="78">
        <v>27666362526</v>
      </c>
      <c r="F138" s="78">
        <v>27451828266</v>
      </c>
      <c r="G138" s="78">
        <v>27327609652</v>
      </c>
      <c r="H138" s="78">
        <v>27326435969</v>
      </c>
      <c r="I138" s="78">
        <v>27324131777</v>
      </c>
      <c r="J138" s="78">
        <v>27601989489</v>
      </c>
      <c r="K138" s="110">
        <v>27181683668</v>
      </c>
      <c r="L138" s="110">
        <v>27457218318</v>
      </c>
      <c r="M138" s="110">
        <v>27234233372</v>
      </c>
      <c r="N138" s="110">
        <v>27258620263</v>
      </c>
      <c r="O138" s="110">
        <v>27027403883</v>
      </c>
      <c r="P138" s="110">
        <f t="shared" si="157"/>
        <v>328572219817</v>
      </c>
      <c r="Q138" s="170">
        <f t="shared" si="146"/>
        <v>1.025506304048065</v>
      </c>
      <c r="R138" s="154"/>
      <c r="S138" s="77"/>
    </row>
    <row r="139" spans="1:21" x14ac:dyDescent="0.25">
      <c r="A139" s="121" t="s">
        <v>22</v>
      </c>
      <c r="B139" s="127">
        <f t="shared" ref="B139:E139" si="158">SUM(B140:B150)</f>
        <v>30062786400</v>
      </c>
      <c r="C139" s="127">
        <f t="shared" si="158"/>
        <v>2505232200</v>
      </c>
      <c r="D139" s="124">
        <f t="shared" si="158"/>
        <v>2331304556</v>
      </c>
      <c r="E139" s="124">
        <f t="shared" si="158"/>
        <v>5198643209</v>
      </c>
      <c r="F139" s="124">
        <f t="shared" ref="F139" si="159">SUM(F140:F150)</f>
        <v>4759155630</v>
      </c>
      <c r="G139" s="124">
        <f t="shared" ref="G139:H139" si="160">SUM(G140:G150)</f>
        <v>4782863675</v>
      </c>
      <c r="H139" s="124">
        <f t="shared" si="160"/>
        <v>3202736388</v>
      </c>
      <c r="I139" s="124">
        <f t="shared" ref="I139:N139" si="161">SUM(I140:I150)</f>
        <v>5483845231</v>
      </c>
      <c r="J139" s="124">
        <f t="shared" si="161"/>
        <v>3447732489</v>
      </c>
      <c r="K139" s="127">
        <f t="shared" ref="K139" si="162">SUM(K140:K150)</f>
        <v>5328829703</v>
      </c>
      <c r="L139" s="127">
        <f t="shared" si="161"/>
        <v>4994988614</v>
      </c>
      <c r="M139" s="127">
        <f t="shared" si="161"/>
        <v>5988385677</v>
      </c>
      <c r="N139" s="127">
        <f t="shared" si="161"/>
        <v>7364557654</v>
      </c>
      <c r="O139" s="127">
        <f>SUM(O140:O150)</f>
        <v>6163218750</v>
      </c>
      <c r="P139" s="127">
        <f>SUM(P140:P150)</f>
        <v>59046261576</v>
      </c>
      <c r="Q139" s="174">
        <f t="shared" si="146"/>
        <v>1.9640980975735503</v>
      </c>
      <c r="R139" s="159"/>
      <c r="S139" s="77"/>
    </row>
    <row r="140" spans="1:21" x14ac:dyDescent="0.25">
      <c r="A140" s="122" t="s">
        <v>266</v>
      </c>
      <c r="B140" s="110">
        <v>3335988036</v>
      </c>
      <c r="C140" s="123">
        <f t="shared" si="156"/>
        <v>277999003</v>
      </c>
      <c r="D140" s="137">
        <v>-421237172</v>
      </c>
      <c r="E140" s="137">
        <v>215188072</v>
      </c>
      <c r="F140" s="137">
        <v>658713549</v>
      </c>
      <c r="G140" s="137">
        <v>371271223</v>
      </c>
      <c r="H140" s="137">
        <v>-41516722</v>
      </c>
      <c r="I140" s="137">
        <v>109997243</v>
      </c>
      <c r="J140" s="137">
        <v>75669094</v>
      </c>
      <c r="K140" s="110">
        <v>306519477</v>
      </c>
      <c r="L140" s="110">
        <v>246188053</v>
      </c>
      <c r="M140" s="110">
        <v>268090912</v>
      </c>
      <c r="N140" s="110">
        <v>723341061</v>
      </c>
      <c r="O140" s="110">
        <v>92847140</v>
      </c>
      <c r="P140" s="110">
        <f>+D140+E140+F140+G140+H140+I140+J140+K140+L140+M140+N140+O140</f>
        <v>2605071930</v>
      </c>
      <c r="Q140" s="170">
        <f t="shared" si="146"/>
        <v>0.78089966207540684</v>
      </c>
      <c r="R140" s="160"/>
      <c r="S140" s="77"/>
    </row>
    <row r="141" spans="1:21" x14ac:dyDescent="0.25">
      <c r="A141" s="122" t="s">
        <v>267</v>
      </c>
      <c r="B141" s="110">
        <v>9701584536</v>
      </c>
      <c r="C141" s="123">
        <f t="shared" si="156"/>
        <v>808465378</v>
      </c>
      <c r="D141" s="137">
        <v>1334091514</v>
      </c>
      <c r="E141" s="137">
        <v>3375467625</v>
      </c>
      <c r="F141" s="137">
        <v>2841317297</v>
      </c>
      <c r="G141" s="137">
        <v>2992639527</v>
      </c>
      <c r="H141" s="137">
        <v>1728190722</v>
      </c>
      <c r="I141" s="137">
        <v>3335984482</v>
      </c>
      <c r="J141" s="137">
        <v>1908097737</v>
      </c>
      <c r="K141" s="110">
        <v>3535383941</v>
      </c>
      <c r="L141" s="110">
        <v>2972304200</v>
      </c>
      <c r="M141" s="110">
        <v>3201670296</v>
      </c>
      <c r="N141" s="110">
        <v>4230490548</v>
      </c>
      <c r="O141" s="110">
        <v>4415162580</v>
      </c>
      <c r="P141" s="110">
        <f t="shared" ref="P141:P150" si="163">+D141+E141+F141+G141+H141+I141+J141+K141+L141+M141+N141+O141</f>
        <v>35870800469</v>
      </c>
      <c r="Q141" s="170">
        <f t="shared" si="146"/>
        <v>3.6974166782645659</v>
      </c>
      <c r="R141" s="160"/>
      <c r="S141" s="77"/>
    </row>
    <row r="142" spans="1:21" x14ac:dyDescent="0.25">
      <c r="A142" s="73" t="s">
        <v>268</v>
      </c>
      <c r="B142" s="110">
        <v>1584637716</v>
      </c>
      <c r="C142" s="123">
        <f t="shared" si="156"/>
        <v>132053143</v>
      </c>
      <c r="D142" s="137">
        <v>93019480</v>
      </c>
      <c r="E142" s="137">
        <v>71641774</v>
      </c>
      <c r="F142" s="137">
        <v>97954154</v>
      </c>
      <c r="G142" s="137">
        <v>149177123</v>
      </c>
      <c r="H142" s="137">
        <v>37561798</v>
      </c>
      <c r="I142" s="137">
        <v>129505443</v>
      </c>
      <c r="J142" s="137">
        <v>246992865</v>
      </c>
      <c r="K142" s="110">
        <v>32201165</v>
      </c>
      <c r="L142" s="110">
        <v>137472829</v>
      </c>
      <c r="M142" s="110">
        <v>191466109</v>
      </c>
      <c r="N142" s="110">
        <v>227736879</v>
      </c>
      <c r="O142" s="110">
        <v>6052253</v>
      </c>
      <c r="P142" s="110">
        <f t="shared" si="163"/>
        <v>1420781872</v>
      </c>
      <c r="Q142" s="170">
        <f t="shared" si="146"/>
        <v>0.89659728381726844</v>
      </c>
      <c r="R142" s="160"/>
      <c r="S142" s="77"/>
    </row>
    <row r="143" spans="1:21" x14ac:dyDescent="0.25">
      <c r="A143" s="73" t="s">
        <v>269</v>
      </c>
      <c r="B143" s="110">
        <v>364518168</v>
      </c>
      <c r="C143" s="123">
        <f t="shared" si="156"/>
        <v>30376514</v>
      </c>
      <c r="D143" s="137">
        <v>208049659</v>
      </c>
      <c r="E143" s="137">
        <v>17892038</v>
      </c>
      <c r="F143" s="137">
        <v>29135056</v>
      </c>
      <c r="G143" s="137">
        <v>121234459</v>
      </c>
      <c r="H143" s="137">
        <v>156342046</v>
      </c>
      <c r="I143" s="137">
        <v>212609169</v>
      </c>
      <c r="J143" s="137">
        <v>92813681</v>
      </c>
      <c r="K143" s="110">
        <v>105684043</v>
      </c>
      <c r="L143" s="110">
        <v>219358308</v>
      </c>
      <c r="M143" s="110">
        <v>263814504</v>
      </c>
      <c r="N143" s="110">
        <v>151949618</v>
      </c>
      <c r="O143" s="110">
        <v>41234099</v>
      </c>
      <c r="P143" s="110">
        <f t="shared" si="163"/>
        <v>1620116680</v>
      </c>
      <c r="Q143" s="170">
        <f t="shared" si="146"/>
        <v>4.4445430220641295</v>
      </c>
      <c r="R143" s="160"/>
      <c r="S143" s="77"/>
    </row>
    <row r="144" spans="1:21" x14ac:dyDescent="0.25">
      <c r="A144" s="73" t="s">
        <v>270</v>
      </c>
      <c r="B144" s="123">
        <v>1305536436</v>
      </c>
      <c r="C144" s="123">
        <f t="shared" si="156"/>
        <v>108794703</v>
      </c>
      <c r="D144" s="137">
        <v>91521764</v>
      </c>
      <c r="E144" s="137">
        <v>76850437</v>
      </c>
      <c r="F144" s="137">
        <v>87303235</v>
      </c>
      <c r="G144" s="137">
        <v>67366835</v>
      </c>
      <c r="H144" s="137">
        <v>68350026</v>
      </c>
      <c r="I144" s="137">
        <v>46609846</v>
      </c>
      <c r="J144" s="137">
        <v>59932312</v>
      </c>
      <c r="K144" s="123">
        <v>104654763</v>
      </c>
      <c r="L144" s="123">
        <v>110524490</v>
      </c>
      <c r="M144" s="212">
        <v>120962387</v>
      </c>
      <c r="N144" s="212">
        <v>89782171</v>
      </c>
      <c r="O144" s="212">
        <v>61058335</v>
      </c>
      <c r="P144" s="110">
        <f t="shared" si="163"/>
        <v>984916601</v>
      </c>
      <c r="Q144" s="170">
        <f t="shared" si="146"/>
        <v>0.75441525325609526</v>
      </c>
      <c r="R144" s="160"/>
      <c r="S144" s="77"/>
    </row>
    <row r="145" spans="1:19" x14ac:dyDescent="0.25">
      <c r="A145" s="73" t="s">
        <v>271</v>
      </c>
      <c r="B145" s="123">
        <v>1414765080</v>
      </c>
      <c r="C145" s="123">
        <f t="shared" si="156"/>
        <v>117897090</v>
      </c>
      <c r="D145" s="137">
        <v>15317961</v>
      </c>
      <c r="E145" s="137">
        <v>5898067</v>
      </c>
      <c r="F145" s="137">
        <v>5226404</v>
      </c>
      <c r="G145" s="137">
        <v>5344772</v>
      </c>
      <c r="H145" s="137">
        <v>6430649</v>
      </c>
      <c r="I145" s="137">
        <v>18447496</v>
      </c>
      <c r="J145" s="137">
        <v>-10617</v>
      </c>
      <c r="K145" s="123">
        <v>16193645</v>
      </c>
      <c r="L145" s="123">
        <v>2290560</v>
      </c>
      <c r="M145" s="212">
        <v>10880942</v>
      </c>
      <c r="N145" s="212">
        <v>15711038</v>
      </c>
      <c r="O145" s="212">
        <v>11502290</v>
      </c>
      <c r="P145" s="110">
        <f t="shared" si="163"/>
        <v>113233207</v>
      </c>
      <c r="Q145" s="170">
        <f t="shared" si="146"/>
        <v>8.0036755642852023E-2</v>
      </c>
      <c r="R145" s="160"/>
      <c r="S145" s="77"/>
    </row>
    <row r="146" spans="1:19" x14ac:dyDescent="0.25">
      <c r="A146" s="73" t="s">
        <v>272</v>
      </c>
      <c r="B146" s="123">
        <v>887951460</v>
      </c>
      <c r="C146" s="123">
        <f t="shared" si="156"/>
        <v>73995955</v>
      </c>
      <c r="D146" s="137">
        <v>59800241</v>
      </c>
      <c r="E146" s="137">
        <v>77743234</v>
      </c>
      <c r="F146" s="137">
        <v>72043817</v>
      </c>
      <c r="G146" s="137">
        <v>81822098</v>
      </c>
      <c r="H146" s="137">
        <v>100969127</v>
      </c>
      <c r="I146" s="137">
        <v>92598278</v>
      </c>
      <c r="J146" s="137">
        <v>175170389</v>
      </c>
      <c r="K146" s="123">
        <v>112206889</v>
      </c>
      <c r="L146" s="123">
        <v>82141947</v>
      </c>
      <c r="M146" s="212">
        <v>197637854</v>
      </c>
      <c r="N146" s="212">
        <v>159579198</v>
      </c>
      <c r="O146" s="212">
        <v>172507100</v>
      </c>
      <c r="P146" s="110">
        <f t="shared" si="163"/>
        <v>1384220172</v>
      </c>
      <c r="Q146" s="170">
        <f t="shared" si="146"/>
        <v>1.558891712391576</v>
      </c>
      <c r="R146" s="160"/>
      <c r="S146" s="77"/>
    </row>
    <row r="147" spans="1:19" x14ac:dyDescent="0.25">
      <c r="A147" s="73" t="s">
        <v>273</v>
      </c>
      <c r="B147" s="123">
        <v>407875716</v>
      </c>
      <c r="C147" s="123">
        <f t="shared" si="156"/>
        <v>33989643</v>
      </c>
      <c r="D147" s="137">
        <v>3179465</v>
      </c>
      <c r="E147" s="137">
        <v>35099906</v>
      </c>
      <c r="F147" s="137">
        <v>12092755</v>
      </c>
      <c r="G147" s="137">
        <v>63221502</v>
      </c>
      <c r="H147" s="137">
        <v>25853007</v>
      </c>
      <c r="I147" s="137">
        <v>12116250</v>
      </c>
      <c r="J147" s="137">
        <v>11583493</v>
      </c>
      <c r="K147" s="123">
        <v>78146286</v>
      </c>
      <c r="L147" s="123">
        <v>57562858</v>
      </c>
      <c r="M147" s="212">
        <v>58250817</v>
      </c>
      <c r="N147" s="212">
        <v>54136263</v>
      </c>
      <c r="O147" s="212">
        <v>59685203</v>
      </c>
      <c r="P147" s="110">
        <f t="shared" si="163"/>
        <v>470927805</v>
      </c>
      <c r="Q147" s="170">
        <f t="shared" si="146"/>
        <v>1.1545865236066175</v>
      </c>
      <c r="R147" s="160"/>
      <c r="S147" s="77"/>
    </row>
    <row r="148" spans="1:19" x14ac:dyDescent="0.25">
      <c r="A148" s="73" t="s">
        <v>274</v>
      </c>
      <c r="B148" s="123">
        <v>1301594712</v>
      </c>
      <c r="C148" s="123">
        <f t="shared" si="156"/>
        <v>108466226</v>
      </c>
      <c r="D148" s="137">
        <v>57776731</v>
      </c>
      <c r="E148" s="137">
        <v>42398300</v>
      </c>
      <c r="F148" s="137">
        <v>70173179</v>
      </c>
      <c r="G148" s="137">
        <v>52823521</v>
      </c>
      <c r="H148" s="137">
        <v>37547536</v>
      </c>
      <c r="I148" s="137">
        <v>30042310</v>
      </c>
      <c r="J148" s="137">
        <v>-16344297</v>
      </c>
      <c r="K148" s="123">
        <v>62526167</v>
      </c>
      <c r="L148" s="123">
        <v>40431560</v>
      </c>
      <c r="M148" s="212">
        <v>50590010</v>
      </c>
      <c r="N148" s="212">
        <v>69027738</v>
      </c>
      <c r="O148" s="212">
        <v>22542752</v>
      </c>
      <c r="P148" s="110">
        <f t="shared" si="163"/>
        <v>519535507</v>
      </c>
      <c r="Q148" s="170">
        <f t="shared" si="146"/>
        <v>0.39915305602440093</v>
      </c>
      <c r="R148" s="160"/>
      <c r="S148" s="77"/>
    </row>
    <row r="149" spans="1:19" x14ac:dyDescent="0.25">
      <c r="A149" s="73" t="s">
        <v>275</v>
      </c>
      <c r="B149" s="123">
        <v>3903797448</v>
      </c>
      <c r="C149" s="123">
        <f t="shared" si="156"/>
        <v>325316454</v>
      </c>
      <c r="D149" s="137">
        <v>208898257</v>
      </c>
      <c r="E149" s="137">
        <v>529168727</v>
      </c>
      <c r="F149" s="137">
        <v>293254899</v>
      </c>
      <c r="G149" s="137">
        <v>312003083</v>
      </c>
      <c r="H149" s="137">
        <v>425845522</v>
      </c>
      <c r="I149" s="137">
        <v>676416818</v>
      </c>
      <c r="J149" s="137">
        <v>444032267</v>
      </c>
      <c r="K149" s="123">
        <v>247895920</v>
      </c>
      <c r="L149" s="123">
        <v>476233533</v>
      </c>
      <c r="M149" s="212">
        <v>344887063</v>
      </c>
      <c r="N149" s="212">
        <v>404545301</v>
      </c>
      <c r="O149" s="212">
        <v>323696084</v>
      </c>
      <c r="P149" s="110">
        <f t="shared" si="163"/>
        <v>4686877474</v>
      </c>
      <c r="Q149" s="170">
        <f t="shared" si="146"/>
        <v>1.2005944305335792</v>
      </c>
      <c r="R149" s="160"/>
      <c r="S149" s="77"/>
    </row>
    <row r="150" spans="1:19" x14ac:dyDescent="0.25">
      <c r="A150" s="73" t="s">
        <v>276</v>
      </c>
      <c r="B150" s="123">
        <v>5854537092</v>
      </c>
      <c r="C150" s="123">
        <f t="shared" si="156"/>
        <v>487878091</v>
      </c>
      <c r="D150" s="137">
        <v>680886656</v>
      </c>
      <c r="E150" s="137">
        <v>751295029</v>
      </c>
      <c r="F150" s="137">
        <v>591941285</v>
      </c>
      <c r="G150" s="137">
        <v>565959532</v>
      </c>
      <c r="H150" s="137">
        <v>657162677</v>
      </c>
      <c r="I150" s="137">
        <v>819517896</v>
      </c>
      <c r="J150" s="137">
        <v>449795565</v>
      </c>
      <c r="K150" s="123">
        <v>727417407</v>
      </c>
      <c r="L150" s="123">
        <v>650480276</v>
      </c>
      <c r="M150" s="212">
        <v>1280134783</v>
      </c>
      <c r="N150" s="212">
        <v>1238257839</v>
      </c>
      <c r="O150" s="212">
        <v>956930914</v>
      </c>
      <c r="P150" s="110">
        <f t="shared" si="163"/>
        <v>9369779859</v>
      </c>
      <c r="Q150" s="170">
        <f t="shared" si="146"/>
        <v>1.6004305228168156</v>
      </c>
      <c r="R150" s="160"/>
      <c r="S150" s="77"/>
    </row>
    <row r="151" spans="1:19" x14ac:dyDescent="0.25">
      <c r="A151" s="121" t="s">
        <v>23</v>
      </c>
      <c r="B151" s="124">
        <f t="shared" ref="B151:E151" si="164">SUM(B152:B153)</f>
        <v>149948121600</v>
      </c>
      <c r="C151" s="124">
        <f t="shared" si="164"/>
        <v>12495676800</v>
      </c>
      <c r="D151" s="124">
        <f t="shared" si="164"/>
        <v>3854820098</v>
      </c>
      <c r="E151" s="124">
        <f t="shared" si="164"/>
        <v>5656164856</v>
      </c>
      <c r="F151" s="124">
        <f t="shared" ref="F151" si="165">SUM(F152:F153)</f>
        <v>4060986415</v>
      </c>
      <c r="G151" s="124">
        <f t="shared" ref="G151:I151" si="166">SUM(G152:G153)</f>
        <v>2012587004</v>
      </c>
      <c r="H151" s="124">
        <f t="shared" si="166"/>
        <v>-174095929</v>
      </c>
      <c r="I151" s="124">
        <f t="shared" si="166"/>
        <v>2796413718</v>
      </c>
      <c r="J151" s="124">
        <f t="shared" ref="J151:N151" si="167">SUM(J152:J153)</f>
        <v>1370720266</v>
      </c>
      <c r="K151" s="124">
        <f t="shared" ref="K151" si="168">SUM(K152:K153)</f>
        <v>1969877468</v>
      </c>
      <c r="L151" s="124">
        <f t="shared" si="167"/>
        <v>973751252</v>
      </c>
      <c r="M151" s="124">
        <f t="shared" si="167"/>
        <v>2441888728</v>
      </c>
      <c r="N151" s="124">
        <f t="shared" si="167"/>
        <v>1120924120</v>
      </c>
      <c r="O151" s="124">
        <f>SUM(O152:O153)</f>
        <v>1928647666</v>
      </c>
      <c r="P151" s="124">
        <f>SUM(P152:P153)</f>
        <v>28012685662</v>
      </c>
      <c r="Q151" s="174">
        <f t="shared" si="146"/>
        <v>0.18681584912898302</v>
      </c>
      <c r="R151" s="159"/>
    </row>
    <row r="152" spans="1:19" x14ac:dyDescent="0.25">
      <c r="A152" s="122" t="s">
        <v>201</v>
      </c>
      <c r="B152" s="110">
        <v>5948121600</v>
      </c>
      <c r="C152" s="123">
        <f t="shared" ref="C152:C153" si="169">+B152/12</f>
        <v>495676800</v>
      </c>
      <c r="D152" s="137">
        <v>108899048</v>
      </c>
      <c r="E152" s="137">
        <v>81339526</v>
      </c>
      <c r="F152" s="137">
        <v>92750843</v>
      </c>
      <c r="G152" s="137">
        <v>64775382</v>
      </c>
      <c r="H152" s="137">
        <v>33676580</v>
      </c>
      <c r="I152" s="137">
        <v>58035166</v>
      </c>
      <c r="J152" s="137">
        <v>41281620</v>
      </c>
      <c r="K152" s="110">
        <v>69387994</v>
      </c>
      <c r="L152" s="110">
        <v>15783456</v>
      </c>
      <c r="M152" s="110">
        <v>46832402</v>
      </c>
      <c r="N152" s="110">
        <v>39625061</v>
      </c>
      <c r="O152" s="110">
        <v>65781126</v>
      </c>
      <c r="P152" s="110">
        <f>+D152+E152+F152+G152+H152+I152+J152+K152+L152+M152+N152+O152</f>
        <v>718168204</v>
      </c>
      <c r="Q152" s="175">
        <f t="shared" si="146"/>
        <v>0.12073865537651415</v>
      </c>
      <c r="R152" s="154"/>
      <c r="S152" s="77"/>
    </row>
    <row r="153" spans="1:19" x14ac:dyDescent="0.25">
      <c r="A153" s="122" t="s">
        <v>277</v>
      </c>
      <c r="B153" s="123">
        <v>144000000000</v>
      </c>
      <c r="C153" s="123">
        <f t="shared" si="169"/>
        <v>12000000000</v>
      </c>
      <c r="D153" s="137">
        <v>3745921050</v>
      </c>
      <c r="E153" s="137">
        <v>5574825330</v>
      </c>
      <c r="F153" s="137">
        <v>3968235572</v>
      </c>
      <c r="G153" s="137">
        <v>1947811622</v>
      </c>
      <c r="H153" s="137">
        <v>-207772509</v>
      </c>
      <c r="I153" s="137">
        <v>2738378552</v>
      </c>
      <c r="J153" s="137">
        <v>1329438646</v>
      </c>
      <c r="K153" s="123">
        <v>1900489474</v>
      </c>
      <c r="L153" s="123">
        <v>957967796</v>
      </c>
      <c r="M153" s="212">
        <v>2395056326</v>
      </c>
      <c r="N153" s="212">
        <v>1081299059</v>
      </c>
      <c r="O153" s="212">
        <v>1862866540</v>
      </c>
      <c r="P153" s="110">
        <f>+D153+E153+F153+G153+H153+I153+J153+K153+L153+M153+N153+O153</f>
        <v>27294517458</v>
      </c>
      <c r="Q153" s="175">
        <f t="shared" si="146"/>
        <v>0.189545260125</v>
      </c>
      <c r="R153" s="154"/>
      <c r="S153" s="77"/>
    </row>
    <row r="154" spans="1:19" x14ac:dyDescent="0.25">
      <c r="A154" s="121" t="s">
        <v>24</v>
      </c>
      <c r="B154" s="124">
        <f t="shared" ref="B154:E154" si="170">SUM(B155:B163)</f>
        <v>421857494364</v>
      </c>
      <c r="C154" s="124">
        <f t="shared" si="170"/>
        <v>35154791197</v>
      </c>
      <c r="D154" s="124">
        <f t="shared" si="170"/>
        <v>26649837971</v>
      </c>
      <c r="E154" s="124">
        <f t="shared" si="170"/>
        <v>36103840261</v>
      </c>
      <c r="F154" s="124">
        <f t="shared" ref="F154" si="171">SUM(F155:F163)</f>
        <v>50352801064</v>
      </c>
      <c r="G154" s="124">
        <f t="shared" ref="G154:H154" si="172">SUM(G155:G163)</f>
        <v>37206005344</v>
      </c>
      <c r="H154" s="124">
        <f t="shared" si="172"/>
        <v>22053316228</v>
      </c>
      <c r="I154" s="124">
        <f t="shared" ref="I154:N154" si="173">SUM(I155:I163)</f>
        <v>34569876277</v>
      </c>
      <c r="J154" s="124">
        <f t="shared" si="173"/>
        <v>31833197101</v>
      </c>
      <c r="K154" s="124">
        <f t="shared" ref="K154" si="174">SUM(K155:K163)</f>
        <v>41253865663</v>
      </c>
      <c r="L154" s="124">
        <f t="shared" si="173"/>
        <v>30862576073</v>
      </c>
      <c r="M154" s="124">
        <f t="shared" si="173"/>
        <v>53227288856</v>
      </c>
      <c r="N154" s="124">
        <f t="shared" si="173"/>
        <v>37370117188</v>
      </c>
      <c r="O154" s="124">
        <f>SUM(O155:O163)</f>
        <v>33063652421</v>
      </c>
      <c r="P154" s="124">
        <f>SUM(P155:P163)</f>
        <v>434546374447</v>
      </c>
      <c r="Q154" s="174">
        <f t="shared" si="146"/>
        <v>1.0300785934883769</v>
      </c>
      <c r="R154" s="159"/>
    </row>
    <row r="155" spans="1:19" x14ac:dyDescent="0.25">
      <c r="A155" s="73" t="s">
        <v>278</v>
      </c>
      <c r="B155" s="123">
        <v>15785919456</v>
      </c>
      <c r="C155" s="123">
        <f t="shared" ref="C155:C163" si="175">+B155/12</f>
        <v>1315493288</v>
      </c>
      <c r="D155" s="65">
        <v>2497190332</v>
      </c>
      <c r="E155" s="65">
        <v>3966179601</v>
      </c>
      <c r="F155" s="65">
        <v>2219509057</v>
      </c>
      <c r="G155" s="65">
        <v>3142976431</v>
      </c>
      <c r="H155" s="65">
        <v>2638995338</v>
      </c>
      <c r="I155" s="65">
        <v>2657479250</v>
      </c>
      <c r="J155" s="65">
        <v>1739237725</v>
      </c>
      <c r="K155" s="123">
        <v>2330225938</v>
      </c>
      <c r="L155" s="123">
        <v>2728282460</v>
      </c>
      <c r="M155" s="212">
        <v>3102115575</v>
      </c>
      <c r="N155" s="212">
        <v>3480061051</v>
      </c>
      <c r="O155" s="212">
        <v>2823621375</v>
      </c>
      <c r="P155" s="123">
        <f>+D155+E155+F155+G155+H155+I155+J155+K155+L155+M155+N155+O155</f>
        <v>33325874133</v>
      </c>
      <c r="Q155" s="170">
        <f t="shared" si="146"/>
        <v>2.1111139091954074</v>
      </c>
      <c r="R155" s="154"/>
      <c r="S155" s="77"/>
    </row>
    <row r="156" spans="1:19" x14ac:dyDescent="0.25">
      <c r="A156" s="73" t="s">
        <v>279</v>
      </c>
      <c r="B156" s="123">
        <v>367063195620</v>
      </c>
      <c r="C156" s="123">
        <f t="shared" si="175"/>
        <v>30588599635</v>
      </c>
      <c r="D156" s="65">
        <v>19467933138</v>
      </c>
      <c r="E156" s="65">
        <v>24728703345</v>
      </c>
      <c r="F156" s="65">
        <v>41072907860</v>
      </c>
      <c r="G156" s="65">
        <v>27793984404</v>
      </c>
      <c r="H156" s="65">
        <v>12919009249</v>
      </c>
      <c r="I156" s="65">
        <v>25039712591</v>
      </c>
      <c r="J156" s="65">
        <v>23147747104</v>
      </c>
      <c r="K156" s="123">
        <v>31575083307</v>
      </c>
      <c r="L156" s="123">
        <v>19960939445</v>
      </c>
      <c r="M156" s="212">
        <v>40382996860</v>
      </c>
      <c r="N156" s="212">
        <v>24219932773</v>
      </c>
      <c r="O156" s="212">
        <v>22218917332</v>
      </c>
      <c r="P156" s="123">
        <f t="shared" ref="P156:P163" si="176">+D156+E156+F156+G156+H156+I156+J156+K156+L156+M156+N156+O156</f>
        <v>312527867408</v>
      </c>
      <c r="Q156" s="170">
        <f t="shared" si="146"/>
        <v>0.85142795882903666</v>
      </c>
      <c r="R156" s="154"/>
      <c r="S156" s="77"/>
    </row>
    <row r="157" spans="1:19" x14ac:dyDescent="0.25">
      <c r="A157" s="73" t="s">
        <v>280</v>
      </c>
      <c r="B157" s="123">
        <v>9165807780</v>
      </c>
      <c r="C157" s="123">
        <f t="shared" si="175"/>
        <v>763817315</v>
      </c>
      <c r="D157" s="65">
        <v>1075428050</v>
      </c>
      <c r="E157" s="65">
        <v>1879246311</v>
      </c>
      <c r="F157" s="65">
        <v>1894449357</v>
      </c>
      <c r="G157" s="65">
        <v>1554185122</v>
      </c>
      <c r="H157" s="65">
        <v>1795795125</v>
      </c>
      <c r="I157" s="65">
        <v>1655951366</v>
      </c>
      <c r="J157" s="65">
        <v>1664834069</v>
      </c>
      <c r="K157" s="123">
        <v>1506987601</v>
      </c>
      <c r="L157" s="123">
        <v>1647112504</v>
      </c>
      <c r="M157" s="212">
        <v>2811405254</v>
      </c>
      <c r="N157" s="212">
        <v>1818844875</v>
      </c>
      <c r="O157" s="212">
        <v>1526152469</v>
      </c>
      <c r="P157" s="123">
        <f t="shared" si="176"/>
        <v>20830392103</v>
      </c>
      <c r="Q157" s="170">
        <f t="shared" si="146"/>
        <v>2.2726193482316295</v>
      </c>
      <c r="R157" s="154"/>
      <c r="S157" s="77"/>
    </row>
    <row r="158" spans="1:19" x14ac:dyDescent="0.25">
      <c r="A158" s="73" t="s">
        <v>269</v>
      </c>
      <c r="B158" s="123">
        <v>7006241016</v>
      </c>
      <c r="C158" s="123">
        <f t="shared" si="175"/>
        <v>583853418</v>
      </c>
      <c r="D158" s="65">
        <v>475286279</v>
      </c>
      <c r="E158" s="65">
        <v>641868721</v>
      </c>
      <c r="F158" s="65">
        <v>858313567</v>
      </c>
      <c r="G158" s="65">
        <v>594987620</v>
      </c>
      <c r="H158" s="65">
        <v>499864309</v>
      </c>
      <c r="I158" s="65">
        <v>353145700</v>
      </c>
      <c r="J158" s="65">
        <v>928769055</v>
      </c>
      <c r="K158" s="123">
        <v>626071018</v>
      </c>
      <c r="L158" s="123">
        <v>1043068764</v>
      </c>
      <c r="M158" s="212">
        <v>1010190617</v>
      </c>
      <c r="N158" s="212">
        <v>839510519</v>
      </c>
      <c r="O158" s="212">
        <v>440889851</v>
      </c>
      <c r="P158" s="123">
        <f t="shared" si="176"/>
        <v>8311966020</v>
      </c>
      <c r="Q158" s="170">
        <f t="shared" si="146"/>
        <v>1.1863659844156296</v>
      </c>
      <c r="R158" s="154"/>
      <c r="S158" s="77"/>
    </row>
    <row r="159" spans="1:19" x14ac:dyDescent="0.25">
      <c r="A159" s="73" t="s">
        <v>281</v>
      </c>
      <c r="B159" s="123">
        <v>3203631408</v>
      </c>
      <c r="C159" s="123">
        <f t="shared" si="175"/>
        <v>266969284</v>
      </c>
      <c r="D159" s="65">
        <v>247691533</v>
      </c>
      <c r="E159" s="65">
        <v>314100179</v>
      </c>
      <c r="F159" s="65">
        <v>348701829</v>
      </c>
      <c r="G159" s="65">
        <v>303114330</v>
      </c>
      <c r="H159" s="65">
        <v>319384975</v>
      </c>
      <c r="I159" s="65">
        <v>349940464</v>
      </c>
      <c r="J159" s="65">
        <v>222149412</v>
      </c>
      <c r="K159" s="123">
        <v>363435150</v>
      </c>
      <c r="L159" s="123">
        <v>364686797</v>
      </c>
      <c r="M159" s="212">
        <v>459074557</v>
      </c>
      <c r="N159" s="212">
        <v>797158963</v>
      </c>
      <c r="O159" s="212">
        <v>437068524</v>
      </c>
      <c r="P159" s="123">
        <f t="shared" si="176"/>
        <v>4526506713</v>
      </c>
      <c r="Q159" s="170">
        <f t="shared" si="146"/>
        <v>1.4129299337297545</v>
      </c>
      <c r="R159" s="154"/>
      <c r="S159" s="77"/>
    </row>
    <row r="160" spans="1:19" x14ac:dyDescent="0.25">
      <c r="A160" s="73" t="s">
        <v>282</v>
      </c>
      <c r="B160" s="123">
        <v>6087516936</v>
      </c>
      <c r="C160" s="123">
        <f t="shared" si="175"/>
        <v>507293078</v>
      </c>
      <c r="D160" s="65">
        <v>1206444998</v>
      </c>
      <c r="E160" s="65">
        <v>2967851329</v>
      </c>
      <c r="F160" s="65">
        <v>2105658193</v>
      </c>
      <c r="G160" s="65">
        <v>1707597769</v>
      </c>
      <c r="H160" s="65">
        <v>2030328667</v>
      </c>
      <c r="I160" s="65">
        <v>1888627088</v>
      </c>
      <c r="J160" s="65">
        <v>1860862831</v>
      </c>
      <c r="K160" s="123">
        <v>2284550231</v>
      </c>
      <c r="L160" s="123">
        <v>1918050022</v>
      </c>
      <c r="M160" s="212">
        <v>2254584039</v>
      </c>
      <c r="N160" s="212">
        <v>2260705179</v>
      </c>
      <c r="O160" s="212">
        <v>2827968548</v>
      </c>
      <c r="P160" s="123">
        <f t="shared" si="176"/>
        <v>25313228894</v>
      </c>
      <c r="Q160" s="170">
        <f t="shared" si="146"/>
        <v>4.1582190505794099</v>
      </c>
      <c r="R160" s="154"/>
      <c r="S160" s="77"/>
    </row>
    <row r="161" spans="1:19" x14ac:dyDescent="0.25">
      <c r="A161" s="73" t="s">
        <v>283</v>
      </c>
      <c r="B161" s="123">
        <v>2981789064</v>
      </c>
      <c r="C161" s="123">
        <f t="shared" si="175"/>
        <v>248482422</v>
      </c>
      <c r="D161" s="65">
        <v>1087338485</v>
      </c>
      <c r="E161" s="65">
        <v>768121510</v>
      </c>
      <c r="F161" s="65">
        <v>970107649</v>
      </c>
      <c r="G161" s="65">
        <v>974247712</v>
      </c>
      <c r="H161" s="65">
        <v>922578742</v>
      </c>
      <c r="I161" s="65">
        <v>942596753</v>
      </c>
      <c r="J161" s="65">
        <v>832922279</v>
      </c>
      <c r="K161" s="123">
        <v>855243262</v>
      </c>
      <c r="L161" s="123">
        <v>1035392063</v>
      </c>
      <c r="M161" s="212">
        <v>919345253</v>
      </c>
      <c r="N161" s="212">
        <v>1217582690</v>
      </c>
      <c r="O161" s="212">
        <v>1164082938</v>
      </c>
      <c r="P161" s="123">
        <f t="shared" si="176"/>
        <v>11689559336</v>
      </c>
      <c r="Q161" s="170">
        <f t="shared" si="146"/>
        <v>3.9203173279865515</v>
      </c>
      <c r="R161" s="154"/>
      <c r="S161" s="77"/>
    </row>
    <row r="162" spans="1:19" x14ac:dyDescent="0.25">
      <c r="A162" s="73" t="s">
        <v>284</v>
      </c>
      <c r="B162" s="123">
        <v>6016066716</v>
      </c>
      <c r="C162" s="123">
        <f t="shared" si="175"/>
        <v>501338893</v>
      </c>
      <c r="D162" s="65">
        <v>598767339</v>
      </c>
      <c r="E162" s="65">
        <v>686954273</v>
      </c>
      <c r="F162" s="65">
        <v>649587363</v>
      </c>
      <c r="G162" s="65">
        <v>729439342</v>
      </c>
      <c r="H162" s="65">
        <v>406694742</v>
      </c>
      <c r="I162" s="65">
        <v>772053756</v>
      </c>
      <c r="J162" s="65">
        <v>685356479</v>
      </c>
      <c r="K162" s="123">
        <v>843919546</v>
      </c>
      <c r="L162" s="123">
        <v>1028700714</v>
      </c>
      <c r="M162" s="212">
        <v>1230662930</v>
      </c>
      <c r="N162" s="212">
        <v>1122733362</v>
      </c>
      <c r="O162" s="212">
        <v>524229679</v>
      </c>
      <c r="P162" s="123">
        <f t="shared" si="176"/>
        <v>9279099525</v>
      </c>
      <c r="Q162" s="170">
        <f t="shared" si="146"/>
        <v>1.5423864067733519</v>
      </c>
      <c r="R162" s="154"/>
      <c r="S162" s="77"/>
    </row>
    <row r="163" spans="1:19" x14ac:dyDescent="0.25">
      <c r="A163" s="73" t="s">
        <v>285</v>
      </c>
      <c r="B163" s="123">
        <v>4547326368</v>
      </c>
      <c r="C163" s="123">
        <f t="shared" si="175"/>
        <v>378943864</v>
      </c>
      <c r="D163" s="65">
        <v>-6242183</v>
      </c>
      <c r="E163" s="65">
        <v>150814992</v>
      </c>
      <c r="F163" s="65">
        <v>233566189</v>
      </c>
      <c r="G163" s="65">
        <v>405472614</v>
      </c>
      <c r="H163" s="65">
        <v>520665081</v>
      </c>
      <c r="I163" s="65">
        <v>910369309</v>
      </c>
      <c r="J163" s="65">
        <v>751318147</v>
      </c>
      <c r="K163" s="123">
        <v>868349610</v>
      </c>
      <c r="L163" s="123">
        <v>1136343304</v>
      </c>
      <c r="M163" s="212">
        <v>1056913771</v>
      </c>
      <c r="N163" s="212">
        <v>1613587776</v>
      </c>
      <c r="O163" s="212">
        <v>1100721705</v>
      </c>
      <c r="P163" s="123">
        <f t="shared" si="176"/>
        <v>8741880315</v>
      </c>
      <c r="Q163" s="170">
        <f t="shared" si="146"/>
        <v>1.9224220140690813</v>
      </c>
      <c r="S163" s="77"/>
    </row>
    <row r="164" spans="1:19" x14ac:dyDescent="0.25">
      <c r="A164" s="121" t="s">
        <v>25</v>
      </c>
      <c r="B164" s="124">
        <f t="shared" ref="B164:E164" si="177">SUM(B165:B166)</f>
        <v>149205701256</v>
      </c>
      <c r="C164" s="124">
        <f t="shared" si="177"/>
        <v>12433808438</v>
      </c>
      <c r="D164" s="124">
        <f t="shared" si="177"/>
        <v>20270904302</v>
      </c>
      <c r="E164" s="124">
        <f t="shared" si="177"/>
        <v>29962795232</v>
      </c>
      <c r="F164" s="124">
        <f t="shared" ref="F164" si="178">SUM(F165:F166)</f>
        <v>44019341876</v>
      </c>
      <c r="G164" s="124">
        <f t="shared" ref="G164:H164" si="179">SUM(G165:G166)</f>
        <v>27879974800</v>
      </c>
      <c r="H164" s="124">
        <f t="shared" si="179"/>
        <v>12989271234</v>
      </c>
      <c r="I164" s="124">
        <f t="shared" ref="I164:N164" si="180">SUM(I165:I166)</f>
        <v>29709644464</v>
      </c>
      <c r="J164" s="124">
        <f t="shared" si="180"/>
        <v>23394750469</v>
      </c>
      <c r="K164" s="124">
        <f t="shared" si="180"/>
        <v>30451314472</v>
      </c>
      <c r="L164" s="124">
        <f t="shared" si="180"/>
        <v>24843212390</v>
      </c>
      <c r="M164" s="124">
        <f t="shared" si="180"/>
        <v>47319889389</v>
      </c>
      <c r="N164" s="124">
        <f t="shared" si="180"/>
        <v>30572417228</v>
      </c>
      <c r="O164" s="124">
        <f>SUM(O165:O166)</f>
        <v>24859938215</v>
      </c>
      <c r="P164" s="124">
        <f>SUM(P165:P166)</f>
        <v>346273454071</v>
      </c>
      <c r="Q164" s="174">
        <f t="shared" si="146"/>
        <v>2.3207789726270618</v>
      </c>
      <c r="R164" s="154"/>
    </row>
    <row r="165" spans="1:19" x14ac:dyDescent="0.25">
      <c r="A165" s="73" t="s">
        <v>286</v>
      </c>
      <c r="B165" s="123">
        <v>5205701256</v>
      </c>
      <c r="C165" s="123">
        <f t="shared" ref="C165:C166" si="181">+B165/12</f>
        <v>433808438</v>
      </c>
      <c r="D165" s="65">
        <v>502399435</v>
      </c>
      <c r="E165" s="65">
        <v>402791839</v>
      </c>
      <c r="F165" s="65">
        <v>290635611</v>
      </c>
      <c r="G165" s="65">
        <v>564555648</v>
      </c>
      <c r="H165" s="65">
        <v>607010351</v>
      </c>
      <c r="I165" s="65">
        <v>330209930</v>
      </c>
      <c r="J165" s="65">
        <v>259048305</v>
      </c>
      <c r="K165" s="123">
        <v>380174823</v>
      </c>
      <c r="L165" s="123">
        <v>399926798</v>
      </c>
      <c r="M165" s="212">
        <v>943090844</v>
      </c>
      <c r="N165" s="212">
        <v>500859285</v>
      </c>
      <c r="O165" s="212">
        <v>239880473</v>
      </c>
      <c r="P165" s="123">
        <f>+D165+E165+F165+G165+H165+I165+J165+K165+L165+M165+N165+O165</f>
        <v>5420583342</v>
      </c>
      <c r="Q165" s="170">
        <f t="shared" si="146"/>
        <v>1.0412782208261242</v>
      </c>
      <c r="R165" s="154"/>
      <c r="S165" s="77"/>
    </row>
    <row r="166" spans="1:19" x14ac:dyDescent="0.25">
      <c r="A166" s="73" t="s">
        <v>287</v>
      </c>
      <c r="B166" s="123">
        <v>144000000000</v>
      </c>
      <c r="C166" s="123">
        <f t="shared" si="181"/>
        <v>12000000000</v>
      </c>
      <c r="D166" s="65">
        <v>19768504867</v>
      </c>
      <c r="E166" s="65">
        <v>29560003393</v>
      </c>
      <c r="F166" s="65">
        <v>43728706265</v>
      </c>
      <c r="G166" s="65">
        <v>27315419152</v>
      </c>
      <c r="H166" s="65">
        <v>12382260883</v>
      </c>
      <c r="I166" s="65">
        <v>29379434534</v>
      </c>
      <c r="J166" s="65">
        <v>23135702164</v>
      </c>
      <c r="K166" s="123">
        <v>30071139649</v>
      </c>
      <c r="L166" s="123">
        <v>24443285592</v>
      </c>
      <c r="M166" s="212">
        <v>46376798545</v>
      </c>
      <c r="N166" s="212">
        <v>30071557943</v>
      </c>
      <c r="O166" s="212">
        <v>24620057742</v>
      </c>
      <c r="P166" s="123">
        <f>+D166+E166+F166+G166+H166+I166+J166+K166+L166+M166+N166+O166</f>
        <v>340852870729</v>
      </c>
      <c r="Q166" s="170">
        <f t="shared" si="146"/>
        <v>2.3670338245069447</v>
      </c>
      <c r="R166" s="154"/>
      <c r="S166" s="77"/>
    </row>
    <row r="167" spans="1:19" x14ac:dyDescent="0.25">
      <c r="A167" s="125" t="s">
        <v>224</v>
      </c>
      <c r="B167" s="124">
        <f t="shared" ref="B167:N167" si="182">+B168</f>
        <v>16936804380</v>
      </c>
      <c r="C167" s="124">
        <f t="shared" si="182"/>
        <v>1411400365</v>
      </c>
      <c r="D167" s="124">
        <f t="shared" si="182"/>
        <v>21078689667</v>
      </c>
      <c r="E167" s="124">
        <f t="shared" si="182"/>
        <v>9763266001</v>
      </c>
      <c r="F167" s="124">
        <f t="shared" si="182"/>
        <v>448154047</v>
      </c>
      <c r="G167" s="124">
        <f t="shared" si="182"/>
        <v>61161166</v>
      </c>
      <c r="H167" s="124">
        <f t="shared" si="182"/>
        <v>368169660</v>
      </c>
      <c r="I167" s="124">
        <f t="shared" si="182"/>
        <v>488417462</v>
      </c>
      <c r="J167" s="124">
        <f t="shared" si="182"/>
        <v>589552533</v>
      </c>
      <c r="K167" s="124">
        <f t="shared" si="182"/>
        <v>1041963807</v>
      </c>
      <c r="L167" s="124">
        <f t="shared" si="182"/>
        <v>74362886</v>
      </c>
      <c r="M167" s="124">
        <f t="shared" si="182"/>
        <v>1077308571</v>
      </c>
      <c r="N167" s="124">
        <f t="shared" si="182"/>
        <v>994505443</v>
      </c>
      <c r="O167" s="124">
        <f>+O168</f>
        <v>-1046336294</v>
      </c>
      <c r="P167" s="124">
        <f>+P168</f>
        <v>34939214949</v>
      </c>
      <c r="Q167" s="174">
        <f t="shared" si="146"/>
        <v>2.0629166025120025</v>
      </c>
      <c r="R167" s="159"/>
    </row>
    <row r="168" spans="1:19" x14ac:dyDescent="0.25">
      <c r="A168" s="73" t="s">
        <v>288</v>
      </c>
      <c r="B168" s="123">
        <v>16936804380</v>
      </c>
      <c r="C168" s="123">
        <f t="shared" ref="C168" si="183">+B168/12</f>
        <v>1411400365</v>
      </c>
      <c r="D168" s="137">
        <v>21078689667</v>
      </c>
      <c r="E168" s="137">
        <v>9763266001</v>
      </c>
      <c r="F168" s="137">
        <v>448154047</v>
      </c>
      <c r="G168" s="137">
        <v>61161166</v>
      </c>
      <c r="H168" s="137">
        <v>368169660</v>
      </c>
      <c r="I168" s="137">
        <v>488417462</v>
      </c>
      <c r="J168" s="137">
        <v>589552533</v>
      </c>
      <c r="K168" s="123">
        <v>1041963807</v>
      </c>
      <c r="L168" s="123">
        <v>74362886</v>
      </c>
      <c r="M168" s="212">
        <v>1077308571</v>
      </c>
      <c r="N168" s="212">
        <v>994505443</v>
      </c>
      <c r="O168" s="212">
        <v>-1046336294</v>
      </c>
      <c r="P168" s="123">
        <f>+D168+E168+F168+G168+H168+I168+J168+K168+L168+M168+N168+O168</f>
        <v>34939214949</v>
      </c>
      <c r="Q168" s="170">
        <f t="shared" si="146"/>
        <v>2.0629166025120025</v>
      </c>
      <c r="R168" s="154"/>
      <c r="S168" s="77"/>
    </row>
    <row r="169" spans="1:19" hidden="1" x14ac:dyDescent="0.25">
      <c r="A169" s="125" t="s">
        <v>233</v>
      </c>
      <c r="B169" s="126">
        <f>+B170</f>
        <v>0</v>
      </c>
      <c r="C169" s="126">
        <f>+C170</f>
        <v>0</v>
      </c>
      <c r="D169" s="137"/>
      <c r="E169" s="137"/>
      <c r="F169" s="137"/>
      <c r="G169" s="137"/>
      <c r="H169" s="137"/>
      <c r="I169" s="137"/>
      <c r="J169" s="137"/>
      <c r="K169" s="126"/>
      <c r="L169" s="126"/>
      <c r="M169" s="126"/>
      <c r="N169" s="126"/>
      <c r="O169" s="126"/>
      <c r="P169" s="126">
        <f t="shared" ref="P169:P170" si="184">+D169+E169+F169+G169+H169+I169+J169</f>
        <v>0</v>
      </c>
      <c r="Q169" s="175" t="e">
        <f t="shared" ref="Q169:Q178" si="185">+P169/((B169/12)*8)</f>
        <v>#DIV/0!</v>
      </c>
      <c r="R169" s="159"/>
    </row>
    <row r="170" spans="1:19" hidden="1" x14ac:dyDescent="0.25">
      <c r="A170" s="42" t="s">
        <v>233</v>
      </c>
      <c r="B170" s="123"/>
      <c r="C170" s="123"/>
      <c r="D170" s="137"/>
      <c r="E170" s="137"/>
      <c r="F170" s="137"/>
      <c r="G170" s="137"/>
      <c r="H170" s="137"/>
      <c r="I170" s="137"/>
      <c r="J170" s="137"/>
      <c r="K170" s="123"/>
      <c r="L170" s="123"/>
      <c r="M170" s="123"/>
      <c r="N170" s="123"/>
      <c r="O170" s="123"/>
      <c r="P170" s="123">
        <f t="shared" si="184"/>
        <v>0</v>
      </c>
      <c r="Q170" s="175" t="e">
        <f t="shared" si="185"/>
        <v>#DIV/0!</v>
      </c>
      <c r="R170" s="159"/>
    </row>
    <row r="171" spans="1:19" x14ac:dyDescent="0.25">
      <c r="A171" s="130" t="s">
        <v>234</v>
      </c>
      <c r="B171" s="130">
        <f>+B172+B173</f>
        <v>49907942131.199997</v>
      </c>
      <c r="C171" s="130">
        <f>+C172+C173</f>
        <v>4158995177.5999999</v>
      </c>
      <c r="D171" s="124">
        <f t="shared" ref="D171:E171" si="186">+D172+D173</f>
        <v>6023219186</v>
      </c>
      <c r="E171" s="124">
        <f t="shared" si="186"/>
        <v>5479389238</v>
      </c>
      <c r="F171" s="124">
        <f t="shared" ref="F171" si="187">+F172+F173</f>
        <v>5219079164</v>
      </c>
      <c r="G171" s="124">
        <f t="shared" ref="G171:H171" si="188">+G172+G173</f>
        <v>5196279319</v>
      </c>
      <c r="H171" s="124">
        <f t="shared" si="188"/>
        <v>4025663805</v>
      </c>
      <c r="I171" s="124">
        <f t="shared" ref="I171:N171" si="189">+I172+I173</f>
        <v>3002463918</v>
      </c>
      <c r="J171" s="124">
        <f t="shared" si="189"/>
        <v>3999781270</v>
      </c>
      <c r="K171" s="130">
        <f t="shared" si="189"/>
        <v>4961935313</v>
      </c>
      <c r="L171" s="130">
        <f t="shared" si="189"/>
        <v>3521760039</v>
      </c>
      <c r="M171" s="130">
        <f t="shared" si="189"/>
        <v>3643645452</v>
      </c>
      <c r="N171" s="130">
        <f t="shared" si="189"/>
        <v>2776560333</v>
      </c>
      <c r="O171" s="130">
        <f>+O172+O173</f>
        <v>2841699221</v>
      </c>
      <c r="P171" s="130">
        <f>+P172+P173</f>
        <v>50691476258</v>
      </c>
      <c r="Q171" s="174">
        <f>+P171/((B171/12)*12)</f>
        <v>1.015699587948151</v>
      </c>
      <c r="R171" s="159"/>
    </row>
    <row r="172" spans="1:19" x14ac:dyDescent="0.25">
      <c r="A172" s="42" t="s">
        <v>289</v>
      </c>
      <c r="B172" s="123">
        <v>1876354581</v>
      </c>
      <c r="C172" s="123">
        <f t="shared" ref="C172:C173" si="190">+B172/12</f>
        <v>156362881.75</v>
      </c>
      <c r="D172" s="137">
        <v>434491467</v>
      </c>
      <c r="E172" s="137">
        <v>228927012</v>
      </c>
      <c r="F172" s="137">
        <v>172151228</v>
      </c>
      <c r="G172" s="137">
        <v>285691744</v>
      </c>
      <c r="H172" s="137">
        <v>269770873</v>
      </c>
      <c r="I172" s="137">
        <v>98462027</v>
      </c>
      <c r="J172" s="137">
        <v>118490025</v>
      </c>
      <c r="K172" s="123">
        <v>156419904</v>
      </c>
      <c r="L172" s="123">
        <v>155372689</v>
      </c>
      <c r="M172" s="212">
        <v>434264455</v>
      </c>
      <c r="N172" s="212">
        <v>250359137</v>
      </c>
      <c r="O172" s="212">
        <v>243824173</v>
      </c>
      <c r="P172" s="123">
        <f>+D172+E172+F172+G172+H172+I172+J172+K172+L172+M172+N172+O172</f>
        <v>2848224734</v>
      </c>
      <c r="Q172" s="175">
        <f>+P172/((B172/12)*12)</f>
        <v>1.5179565540762787</v>
      </c>
      <c r="R172" s="154"/>
      <c r="S172" s="77"/>
    </row>
    <row r="173" spans="1:19" x14ac:dyDescent="0.25">
      <c r="A173" s="42" t="s">
        <v>290</v>
      </c>
      <c r="B173" s="123">
        <v>48031587550.199997</v>
      </c>
      <c r="C173" s="123">
        <f t="shared" si="190"/>
        <v>4002632295.8499999</v>
      </c>
      <c r="D173" s="137">
        <v>5588727719</v>
      </c>
      <c r="E173" s="137">
        <v>5250462226</v>
      </c>
      <c r="F173" s="137">
        <v>5046927936</v>
      </c>
      <c r="G173" s="137">
        <v>4910587575</v>
      </c>
      <c r="H173" s="137">
        <v>3755892932</v>
      </c>
      <c r="I173" s="137">
        <v>2904001891</v>
      </c>
      <c r="J173" s="137">
        <v>3881291245</v>
      </c>
      <c r="K173" s="123">
        <v>4805515409</v>
      </c>
      <c r="L173" s="123">
        <v>3366387350</v>
      </c>
      <c r="M173" s="212">
        <v>3209380997</v>
      </c>
      <c r="N173" s="212">
        <v>2526201196</v>
      </c>
      <c r="O173" s="212">
        <v>2597875048</v>
      </c>
      <c r="P173" s="123">
        <f t="shared" ref="P173:P178" si="191">+D173+E173+F173+G173+H173+I173+J173+K173+L173+M173+N173+O173</f>
        <v>47843251524</v>
      </c>
      <c r="Q173" s="175">
        <f>+P173/((B173/12)*12)</f>
        <v>0.99607891315265895</v>
      </c>
      <c r="R173" s="154"/>
      <c r="S173" s="77"/>
    </row>
    <row r="174" spans="1:19" hidden="1" x14ac:dyDescent="0.25">
      <c r="A174" s="91" t="s">
        <v>239</v>
      </c>
      <c r="B174" s="123"/>
      <c r="C174" s="123"/>
      <c r="D174" s="137"/>
      <c r="E174" s="137"/>
      <c r="F174" s="137"/>
      <c r="G174" s="137"/>
      <c r="H174" s="137"/>
      <c r="I174" s="137"/>
      <c r="J174" s="137"/>
      <c r="K174" s="123"/>
      <c r="L174" s="123"/>
      <c r="M174" s="123"/>
      <c r="N174" s="123"/>
      <c r="O174" s="123"/>
      <c r="P174" s="123">
        <f t="shared" si="191"/>
        <v>0</v>
      </c>
      <c r="Q174" s="175" t="e">
        <f t="shared" si="185"/>
        <v>#DIV/0!</v>
      </c>
      <c r="R174" s="159"/>
    </row>
    <row r="175" spans="1:19" hidden="1" x14ac:dyDescent="0.25">
      <c r="A175" s="91" t="s">
        <v>240</v>
      </c>
      <c r="B175" s="123"/>
      <c r="C175" s="123"/>
      <c r="D175" s="137"/>
      <c r="E175" s="137"/>
      <c r="F175" s="137"/>
      <c r="G175" s="137"/>
      <c r="H175" s="137"/>
      <c r="I175" s="137"/>
      <c r="J175" s="137"/>
      <c r="K175" s="123"/>
      <c r="L175" s="123"/>
      <c r="M175" s="123"/>
      <c r="N175" s="123"/>
      <c r="O175" s="123"/>
      <c r="P175" s="123">
        <f t="shared" si="191"/>
        <v>0</v>
      </c>
      <c r="Q175" s="175" t="e">
        <f t="shared" si="185"/>
        <v>#DIV/0!</v>
      </c>
      <c r="R175" s="159"/>
    </row>
    <row r="176" spans="1:19" hidden="1" x14ac:dyDescent="0.25">
      <c r="A176" s="91" t="s">
        <v>241</v>
      </c>
      <c r="B176" s="123"/>
      <c r="C176" s="123"/>
      <c r="D176" s="137"/>
      <c r="E176" s="137"/>
      <c r="F176" s="137"/>
      <c r="G176" s="137"/>
      <c r="H176" s="137"/>
      <c r="I176" s="137"/>
      <c r="J176" s="137"/>
      <c r="K176" s="123"/>
      <c r="L176" s="123"/>
      <c r="M176" s="123"/>
      <c r="N176" s="123"/>
      <c r="O176" s="123"/>
      <c r="P176" s="123">
        <f t="shared" si="191"/>
        <v>0</v>
      </c>
      <c r="Q176" s="175" t="e">
        <f t="shared" si="185"/>
        <v>#DIV/0!</v>
      </c>
      <c r="R176" s="159"/>
    </row>
    <row r="177" spans="1:19" hidden="1" x14ac:dyDescent="0.25">
      <c r="A177" s="121" t="s">
        <v>28</v>
      </c>
      <c r="B177" s="78"/>
      <c r="C177" s="78"/>
      <c r="D177" s="137"/>
      <c r="E177" s="137"/>
      <c r="F177" s="137"/>
      <c r="G177" s="137"/>
      <c r="H177" s="137"/>
      <c r="I177" s="137"/>
      <c r="J177" s="137"/>
      <c r="K177" s="78"/>
      <c r="L177" s="78"/>
      <c r="M177" s="78"/>
      <c r="N177" s="78"/>
      <c r="O177" s="78"/>
      <c r="P177" s="123">
        <f t="shared" si="191"/>
        <v>0</v>
      </c>
      <c r="Q177" s="175" t="e">
        <f t="shared" si="185"/>
        <v>#DIV/0!</v>
      </c>
      <c r="R177" s="159"/>
    </row>
    <row r="178" spans="1:19" hidden="1" x14ac:dyDescent="0.25">
      <c r="A178" s="36" t="s">
        <v>225</v>
      </c>
      <c r="B178" s="64"/>
      <c r="C178" s="64"/>
      <c r="D178" s="65"/>
      <c r="E178" s="65"/>
      <c r="F178" s="65"/>
      <c r="G178" s="65"/>
      <c r="H178" s="65"/>
      <c r="I178" s="65"/>
      <c r="J178" s="65"/>
      <c r="K178" s="64"/>
      <c r="L178" s="64"/>
      <c r="M178" s="64"/>
      <c r="N178" s="64"/>
      <c r="O178" s="64"/>
      <c r="P178" s="123">
        <f t="shared" si="191"/>
        <v>0</v>
      </c>
      <c r="Q178" s="176" t="e">
        <f t="shared" si="185"/>
        <v>#DIV/0!</v>
      </c>
      <c r="R178" s="159"/>
    </row>
    <row r="179" spans="1:19" x14ac:dyDescent="0.25">
      <c r="A179" s="59" t="s">
        <v>144</v>
      </c>
      <c r="B179" s="60">
        <f t="shared" ref="B179:N179" si="192">B180</f>
        <v>74589634178.644073</v>
      </c>
      <c r="C179" s="60">
        <f t="shared" si="192"/>
        <v>6215802848.2203388</v>
      </c>
      <c r="D179" s="66">
        <f t="shared" si="192"/>
        <v>25653823466</v>
      </c>
      <c r="E179" s="66">
        <f t="shared" si="192"/>
        <v>2090131628</v>
      </c>
      <c r="F179" s="66">
        <f t="shared" si="192"/>
        <v>-2172286038</v>
      </c>
      <c r="G179" s="66">
        <f t="shared" si="192"/>
        <v>4030107635</v>
      </c>
      <c r="H179" s="66">
        <f t="shared" si="192"/>
        <v>1476398246</v>
      </c>
      <c r="I179" s="66">
        <f t="shared" si="192"/>
        <v>5116521412</v>
      </c>
      <c r="J179" s="66">
        <f t="shared" si="192"/>
        <v>6733443580</v>
      </c>
      <c r="K179" s="60">
        <f t="shared" si="192"/>
        <v>3998873851</v>
      </c>
      <c r="L179" s="60">
        <f t="shared" si="192"/>
        <v>2997364770</v>
      </c>
      <c r="M179" s="60">
        <f t="shared" si="192"/>
        <v>10101024386</v>
      </c>
      <c r="N179" s="60">
        <f t="shared" si="192"/>
        <v>-6034768039</v>
      </c>
      <c r="O179" s="60">
        <f>O180</f>
        <v>0</v>
      </c>
      <c r="P179" s="60">
        <f>P180</f>
        <v>53990634897</v>
      </c>
      <c r="Q179" s="177">
        <f>+P179/((B179/12)*12)</f>
        <v>0.72383563066807721</v>
      </c>
      <c r="R179" s="159"/>
      <c r="S179" s="77"/>
    </row>
    <row r="180" spans="1:19" x14ac:dyDescent="0.25">
      <c r="A180" s="82" t="s">
        <v>29</v>
      </c>
      <c r="B180" s="81">
        <f t="shared" ref="B180:E180" si="193">SUM(B181:B184)</f>
        <v>74589634178.644073</v>
      </c>
      <c r="C180" s="81">
        <f t="shared" si="193"/>
        <v>6215802848.2203388</v>
      </c>
      <c r="D180" s="81">
        <f t="shared" si="193"/>
        <v>25653823466</v>
      </c>
      <c r="E180" s="81">
        <f t="shared" si="193"/>
        <v>2090131628</v>
      </c>
      <c r="F180" s="81">
        <f t="shared" ref="F180" si="194">SUM(F181:F184)</f>
        <v>-2172286038</v>
      </c>
      <c r="G180" s="81">
        <f t="shared" ref="G180:H180" si="195">SUM(G181:G184)</f>
        <v>4030107635</v>
      </c>
      <c r="H180" s="81">
        <f t="shared" si="195"/>
        <v>1476398246</v>
      </c>
      <c r="I180" s="81">
        <f t="shared" ref="I180:N180" si="196">SUM(I181:I184)</f>
        <v>5116521412</v>
      </c>
      <c r="J180" s="81">
        <f t="shared" si="196"/>
        <v>6733443580</v>
      </c>
      <c r="K180" s="81">
        <f t="shared" ref="K180" si="197">SUM(K181:K184)</f>
        <v>3998873851</v>
      </c>
      <c r="L180" s="81">
        <f t="shared" si="196"/>
        <v>2997364770</v>
      </c>
      <c r="M180" s="81">
        <f t="shared" si="196"/>
        <v>10101024386</v>
      </c>
      <c r="N180" s="81">
        <f t="shared" si="196"/>
        <v>-6034768039</v>
      </c>
      <c r="O180" s="81">
        <f>SUM(O181:O184)</f>
        <v>0</v>
      </c>
      <c r="P180" s="210">
        <f>SUM(P181:P184)</f>
        <v>53990634897</v>
      </c>
      <c r="Q180" s="178">
        <f>+P180/((B180/12)*12)</f>
        <v>0.72383563066807721</v>
      </c>
      <c r="R180" s="159"/>
    </row>
    <row r="181" spans="1:19" x14ac:dyDescent="0.25">
      <c r="A181" s="34" t="s">
        <v>235</v>
      </c>
      <c r="B181" s="123">
        <v>0</v>
      </c>
      <c r="C181" s="123">
        <v>0</v>
      </c>
      <c r="D181" s="137"/>
      <c r="E181" s="137"/>
      <c r="F181" s="137"/>
      <c r="G181" s="137"/>
      <c r="H181" s="137"/>
      <c r="I181" s="137"/>
      <c r="J181" s="137"/>
      <c r="K181" s="123"/>
      <c r="L181" s="123"/>
      <c r="M181" s="123"/>
      <c r="N181" s="123"/>
      <c r="O181" s="123"/>
      <c r="P181" s="123">
        <f>+D181+E181+F181+G181+H181+I181+J181+K181+L181+M181+N181+O181</f>
        <v>0</v>
      </c>
      <c r="Q181" s="175">
        <v>0</v>
      </c>
      <c r="R181" s="159"/>
    </row>
    <row r="182" spans="1:19" x14ac:dyDescent="0.25">
      <c r="A182" s="34" t="s">
        <v>358</v>
      </c>
      <c r="B182" s="123">
        <v>63703901111.964127</v>
      </c>
      <c r="C182" s="123">
        <f>+B182/12</f>
        <v>5308658425.9970102</v>
      </c>
      <c r="D182" s="129">
        <v>24692974086</v>
      </c>
      <c r="E182" s="129">
        <v>3050981008</v>
      </c>
      <c r="F182" s="129">
        <v>-2172286038</v>
      </c>
      <c r="G182" s="129">
        <v>4030107635</v>
      </c>
      <c r="H182" s="129">
        <v>1465886771</v>
      </c>
      <c r="I182" s="129">
        <v>5127032887</v>
      </c>
      <c r="J182" s="129">
        <v>6733443580</v>
      </c>
      <c r="K182" s="123">
        <v>3126944887</v>
      </c>
      <c r="L182" s="123">
        <v>3133319130</v>
      </c>
      <c r="M182" s="212">
        <v>6114776617</v>
      </c>
      <c r="N182" s="212">
        <v>-1823366070</v>
      </c>
      <c r="O182" s="212"/>
      <c r="P182" s="123">
        <f>+D182+E182+F182+G182+H182+I182+J182+K182+L182+M182+N182+O182</f>
        <v>53479814493</v>
      </c>
      <c r="Q182" s="170">
        <f>+P182/((B182/12)*12)</f>
        <v>0.83950611437446243</v>
      </c>
      <c r="R182" s="154"/>
      <c r="S182" s="77"/>
    </row>
    <row r="183" spans="1:19" x14ac:dyDescent="0.25">
      <c r="A183" s="34" t="s">
        <v>237</v>
      </c>
      <c r="B183" s="123">
        <v>10442528687.040207</v>
      </c>
      <c r="C183" s="123">
        <f t="shared" ref="C183" si="198">+B183/12</f>
        <v>870210723.92001724</v>
      </c>
      <c r="D183" s="129">
        <v>960849380</v>
      </c>
      <c r="E183" s="129">
        <v>-960849380</v>
      </c>
      <c r="F183" s="129"/>
      <c r="G183" s="129"/>
      <c r="H183" s="129"/>
      <c r="I183" s="129"/>
      <c r="J183" s="129"/>
      <c r="K183" s="123">
        <v>474262054</v>
      </c>
      <c r="L183" s="123">
        <v>-474262054</v>
      </c>
      <c r="M183" s="212">
        <v>3998805781</v>
      </c>
      <c r="N183" s="212">
        <v>-3998805781</v>
      </c>
      <c r="O183" s="212"/>
      <c r="P183" s="123">
        <f>+D183+E183+F183+G183+H183+I183+J183+K183+L183+M183+N183+O183</f>
        <v>0</v>
      </c>
      <c r="Q183" s="170">
        <f>+P183/((B183/12)*12)</f>
        <v>0</v>
      </c>
      <c r="R183" s="159"/>
      <c r="S183" s="77"/>
    </row>
    <row r="184" spans="1:19" x14ac:dyDescent="0.25">
      <c r="A184" s="34" t="s">
        <v>238</v>
      </c>
      <c r="B184" s="123">
        <v>443204379.63973314</v>
      </c>
      <c r="C184" s="123">
        <f>+B184/12</f>
        <v>36933698.303311095</v>
      </c>
      <c r="D184" s="65">
        <v>0</v>
      </c>
      <c r="E184" s="137"/>
      <c r="F184" s="65">
        <v>0</v>
      </c>
      <c r="G184" s="137"/>
      <c r="H184" s="137">
        <v>10511475</v>
      </c>
      <c r="I184" s="137">
        <v>-10511475</v>
      </c>
      <c r="J184" s="137"/>
      <c r="K184" s="123">
        <v>397666910</v>
      </c>
      <c r="L184" s="123">
        <v>338307694</v>
      </c>
      <c r="M184" s="78">
        <v>-12558012</v>
      </c>
      <c r="N184" s="78">
        <v>-212596188</v>
      </c>
      <c r="O184" s="78"/>
      <c r="P184" s="123">
        <f t="shared" ref="P184" si="199">+D184+E184+F184+G184+H184+I184+J184+K184+L184+M184+N184+O184</f>
        <v>510820404</v>
      </c>
      <c r="Q184" s="170">
        <f>+P184/((B184/12)*12)</f>
        <v>1.1525617242664203</v>
      </c>
      <c r="R184" s="159"/>
    </row>
    <row r="185" spans="1:19" x14ac:dyDescent="0.25">
      <c r="A185" s="59" t="s">
        <v>14</v>
      </c>
      <c r="B185" s="60">
        <f t="shared" ref="B185:K185" si="200">B186</f>
        <v>2600000000</v>
      </c>
      <c r="C185" s="60">
        <f t="shared" si="200"/>
        <v>216666666.66666666</v>
      </c>
      <c r="D185" s="66">
        <f t="shared" si="200"/>
        <v>810238598</v>
      </c>
      <c r="E185" s="66">
        <f t="shared" si="200"/>
        <v>393721866</v>
      </c>
      <c r="F185" s="66">
        <f t="shared" si="200"/>
        <v>480979442</v>
      </c>
      <c r="G185" s="66">
        <f t="shared" si="200"/>
        <v>502321152</v>
      </c>
      <c r="H185" s="66">
        <f t="shared" si="200"/>
        <v>199534778</v>
      </c>
      <c r="I185" s="66">
        <f t="shared" si="200"/>
        <v>618184413</v>
      </c>
      <c r="J185" s="66">
        <f t="shared" si="200"/>
        <v>171506682</v>
      </c>
      <c r="K185" s="60">
        <f t="shared" si="200"/>
        <v>277751204</v>
      </c>
      <c r="L185" s="60">
        <f>L186</f>
        <v>838900780</v>
      </c>
      <c r="M185" s="60">
        <f>M186</f>
        <v>781886283</v>
      </c>
      <c r="N185" s="60">
        <f>N186</f>
        <v>396379575</v>
      </c>
      <c r="O185" s="60">
        <f>O186</f>
        <v>491200192</v>
      </c>
      <c r="P185" s="60">
        <f>P186</f>
        <v>5962604965</v>
      </c>
      <c r="Q185" s="177">
        <f>+P185/((B185/12)*12)</f>
        <v>2.293309601923077</v>
      </c>
      <c r="R185" s="159"/>
      <c r="S185" s="139"/>
    </row>
    <row r="186" spans="1:19" x14ac:dyDescent="0.25">
      <c r="A186" s="36" t="s">
        <v>145</v>
      </c>
      <c r="B186" s="64">
        <v>2600000000</v>
      </c>
      <c r="C186" s="123">
        <f t="shared" ref="C186" si="201">+B186/12</f>
        <v>216666666.66666666</v>
      </c>
      <c r="D186" s="65">
        <v>810238598</v>
      </c>
      <c r="E186" s="65">
        <v>393721866</v>
      </c>
      <c r="F186" s="65">
        <v>480979442</v>
      </c>
      <c r="G186" s="65">
        <v>502321152</v>
      </c>
      <c r="H186" s="65">
        <v>199534778</v>
      </c>
      <c r="I186" s="65">
        <v>618184413</v>
      </c>
      <c r="J186" s="65">
        <v>171506682</v>
      </c>
      <c r="K186" s="64">
        <v>277751204</v>
      </c>
      <c r="L186" s="78">
        <v>838900780</v>
      </c>
      <c r="M186" s="78">
        <v>781886283</v>
      </c>
      <c r="N186" s="78">
        <v>396379575</v>
      </c>
      <c r="O186" s="78">
        <v>491200192</v>
      </c>
      <c r="P186" s="78">
        <f>+D186+E186+F186+G186+H186+I186+J186+K186+L186+M186+N186+O186</f>
        <v>5962604965</v>
      </c>
      <c r="Q186" s="170">
        <f>+P186/((B186/12)*12)</f>
        <v>2.293309601923077</v>
      </c>
      <c r="R186" s="154"/>
      <c r="S186" s="77"/>
    </row>
    <row r="187" spans="1:19" x14ac:dyDescent="0.25">
      <c r="A187" s="59" t="s">
        <v>161</v>
      </c>
      <c r="B187" s="66">
        <f t="shared" ref="B187:D187" si="202">+B188+B190+B189</f>
        <v>0</v>
      </c>
      <c r="C187" s="66">
        <f t="shared" si="202"/>
        <v>0</v>
      </c>
      <c r="D187" s="66">
        <f t="shared" si="202"/>
        <v>19354732</v>
      </c>
      <c r="E187" s="66">
        <f t="shared" ref="E187" si="203">+E188+E190+E189</f>
        <v>18897965</v>
      </c>
      <c r="F187" s="66">
        <f t="shared" ref="F187" si="204">+F188+F190+F189</f>
        <v>19503038</v>
      </c>
      <c r="G187" s="66">
        <f t="shared" ref="G187:H187" si="205">+G188+G190+G189</f>
        <v>19363489</v>
      </c>
      <c r="H187" s="66">
        <f t="shared" si="205"/>
        <v>19587546</v>
      </c>
      <c r="I187" s="66">
        <f t="shared" ref="I187:K187" si="206">+I188+I190+I189</f>
        <v>0</v>
      </c>
      <c r="J187" s="66">
        <f t="shared" si="206"/>
        <v>19597344</v>
      </c>
      <c r="K187" s="66">
        <f t="shared" si="206"/>
        <v>36728904</v>
      </c>
      <c r="L187" s="66">
        <f>+L188+L190+L189</f>
        <v>29272775780</v>
      </c>
      <c r="M187" s="66">
        <f>+M188+M190+M189</f>
        <v>-28598056983</v>
      </c>
      <c r="N187" s="66">
        <f>+N188+N190+N189</f>
        <v>33904737215</v>
      </c>
      <c r="O187" s="66">
        <f>+O188+O190+O189</f>
        <v>42155746781</v>
      </c>
      <c r="P187" s="66">
        <f>+P188+P190+P189</f>
        <v>76888235811</v>
      </c>
      <c r="Q187" s="177"/>
      <c r="R187" s="159"/>
      <c r="S187" s="77"/>
    </row>
    <row r="188" spans="1:19" x14ac:dyDescent="0.25">
      <c r="A188" s="36" t="s">
        <v>153</v>
      </c>
      <c r="B188" s="64"/>
      <c r="C188" s="64"/>
      <c r="D188" s="65"/>
      <c r="E188" s="65"/>
      <c r="F188" s="65"/>
      <c r="G188" s="65"/>
      <c r="H188" s="65"/>
      <c r="I188" s="65"/>
      <c r="J188" s="65"/>
      <c r="K188" s="65"/>
      <c r="L188" s="137">
        <v>29272775780</v>
      </c>
      <c r="M188" s="213">
        <v>-28633629575</v>
      </c>
      <c r="N188" s="213">
        <v>33886135122</v>
      </c>
      <c r="O188" s="213">
        <v>38137537841</v>
      </c>
      <c r="P188" s="137">
        <f>+D188+E188+F188+G188+H188+I188+J188+K188+L188+M188+N188+O188</f>
        <v>72662819168</v>
      </c>
      <c r="Q188" s="176"/>
      <c r="R188" s="159"/>
      <c r="S188" s="77"/>
    </row>
    <row r="189" spans="1:19" x14ac:dyDescent="0.25">
      <c r="A189" s="218" t="s">
        <v>359</v>
      </c>
      <c r="B189" s="64"/>
      <c r="C189" s="64"/>
      <c r="D189" s="65">
        <v>0</v>
      </c>
      <c r="E189" s="65">
        <v>0</v>
      </c>
      <c r="F189" s="65">
        <v>0</v>
      </c>
      <c r="G189" s="65">
        <v>0</v>
      </c>
      <c r="H189" s="65"/>
      <c r="I189" s="65"/>
      <c r="J189" s="65"/>
      <c r="K189" s="65"/>
      <c r="L189" s="65"/>
      <c r="M189" s="65"/>
      <c r="N189" s="65"/>
      <c r="O189" s="65">
        <v>4000000000</v>
      </c>
      <c r="P189" s="137">
        <f t="shared" ref="P189:P190" si="207">+D189+E189+F189+G189+H189+I189+J189+K189+L189+M189+N189+O189</f>
        <v>4000000000</v>
      </c>
      <c r="Q189" s="176"/>
      <c r="R189" s="159"/>
    </row>
    <row r="190" spans="1:19" x14ac:dyDescent="0.25">
      <c r="A190" s="73" t="s">
        <v>162</v>
      </c>
      <c r="B190" s="64"/>
      <c r="C190" s="64"/>
      <c r="D190" s="65">
        <v>19354732</v>
      </c>
      <c r="E190" s="65">
        <v>18897965</v>
      </c>
      <c r="F190" s="65">
        <v>19503038</v>
      </c>
      <c r="G190" s="65">
        <v>19363489</v>
      </c>
      <c r="H190" s="65">
        <v>19587546</v>
      </c>
      <c r="I190" s="65"/>
      <c r="J190" s="65">
        <v>19597344</v>
      </c>
      <c r="K190" s="65">
        <v>36728904</v>
      </c>
      <c r="L190" s="137">
        <v>0</v>
      </c>
      <c r="M190" s="213">
        <v>35572592</v>
      </c>
      <c r="N190" s="213">
        <v>18602093</v>
      </c>
      <c r="O190" s="213">
        <v>18208940</v>
      </c>
      <c r="P190" s="137">
        <f t="shared" si="207"/>
        <v>225416643</v>
      </c>
      <c r="Q190" s="170"/>
      <c r="R190" s="154"/>
      <c r="S190" s="77"/>
    </row>
    <row r="191" spans="1:19" x14ac:dyDescent="0.25">
      <c r="A191" s="29" t="s">
        <v>258</v>
      </c>
      <c r="B191" s="47">
        <f t="shared" ref="B191:P191" si="208">B5-B19</f>
        <v>-51449206494.187744</v>
      </c>
      <c r="C191" s="47">
        <f t="shared" si="208"/>
        <v>-4287433874.5156708</v>
      </c>
      <c r="D191" s="138">
        <f t="shared" si="208"/>
        <v>8342871858</v>
      </c>
      <c r="E191" s="138">
        <f t="shared" si="208"/>
        <v>-6430494402</v>
      </c>
      <c r="F191" s="138">
        <f t="shared" si="208"/>
        <v>-9827826922.36026</v>
      </c>
      <c r="G191" s="138">
        <f t="shared" si="208"/>
        <v>6397437151.3602753</v>
      </c>
      <c r="H191" s="138">
        <f t="shared" si="208"/>
        <v>38495960343</v>
      </c>
      <c r="I191" s="47">
        <f t="shared" si="208"/>
        <v>-1099823670</v>
      </c>
      <c r="J191" s="47">
        <f t="shared" si="208"/>
        <v>-4223317452</v>
      </c>
      <c r="K191" s="47">
        <f t="shared" si="208"/>
        <v>-9807857048</v>
      </c>
      <c r="L191" s="47">
        <f t="shared" si="208"/>
        <v>-17887478856</v>
      </c>
      <c r="M191" s="47">
        <f t="shared" si="208"/>
        <v>-8768132031</v>
      </c>
      <c r="N191" s="47">
        <f t="shared" si="208"/>
        <v>-21333969272</v>
      </c>
      <c r="O191" s="219">
        <f t="shared" si="208"/>
        <v>-12326729424</v>
      </c>
      <c r="P191" s="219">
        <f t="shared" si="208"/>
        <v>-38523832402</v>
      </c>
      <c r="Q191" s="164">
        <f>+P191/((B191/12)*12)</f>
        <v>0.74877408277136537</v>
      </c>
      <c r="R191" s="159"/>
      <c r="S191" s="77"/>
    </row>
    <row r="193" spans="12:17" hidden="1" x14ac:dyDescent="0.25"/>
    <row r="194" spans="12:17" hidden="1" x14ac:dyDescent="0.25">
      <c r="L194" s="160"/>
      <c r="M194" s="160"/>
      <c r="N194" s="160"/>
      <c r="O194" s="160"/>
      <c r="P194" s="160">
        <v>60829832781</v>
      </c>
      <c r="Q194" s="190"/>
    </row>
    <row r="195" spans="12:17" hidden="1" x14ac:dyDescent="0.25">
      <c r="L195" s="191"/>
      <c r="M195" s="191"/>
      <c r="N195" s="191"/>
      <c r="O195" s="191"/>
      <c r="P195" s="160"/>
      <c r="Q195" s="190"/>
    </row>
    <row r="196" spans="12:17" ht="18" hidden="1" x14ac:dyDescent="0.4">
      <c r="L196" s="160"/>
      <c r="M196" s="160"/>
      <c r="N196" s="160"/>
      <c r="O196" s="160"/>
      <c r="P196" s="192">
        <v>4808661029</v>
      </c>
      <c r="Q196" s="190"/>
    </row>
    <row r="197" spans="12:17" x14ac:dyDescent="0.25">
      <c r="L197" s="160"/>
      <c r="M197" s="160"/>
      <c r="N197" s="160"/>
      <c r="O197" s="160"/>
      <c r="P197" s="160"/>
      <c r="Q197" s="190"/>
    </row>
    <row r="198" spans="12:17" x14ac:dyDescent="0.25">
      <c r="L198" s="160"/>
      <c r="M198" s="160"/>
      <c r="N198" s="160"/>
      <c r="O198" s="160"/>
      <c r="P198" s="160"/>
      <c r="Q198" s="190"/>
    </row>
    <row r="199" spans="12:17" x14ac:dyDescent="0.25">
      <c r="L199" s="160"/>
      <c r="M199" s="160"/>
      <c r="N199" s="160"/>
      <c r="O199" s="160"/>
      <c r="P199" s="160"/>
      <c r="Q199" s="190"/>
    </row>
    <row r="200" spans="12:17" x14ac:dyDescent="0.25">
      <c r="L200" s="160"/>
      <c r="M200" s="160"/>
      <c r="N200" s="160"/>
      <c r="O200" s="160"/>
      <c r="P200" s="160"/>
      <c r="Q200" s="190"/>
    </row>
    <row r="201" spans="12:17" x14ac:dyDescent="0.25">
      <c r="L201" s="160"/>
      <c r="M201" s="160"/>
      <c r="N201" s="160"/>
      <c r="O201" s="160"/>
      <c r="P201" s="160"/>
      <c r="Q201" s="190"/>
    </row>
    <row r="202" spans="12:17" x14ac:dyDescent="0.25">
      <c r="L202" s="160"/>
      <c r="M202" s="160"/>
      <c r="N202" s="160"/>
      <c r="O202" s="160"/>
      <c r="P202" s="160"/>
      <c r="Q202" s="190"/>
    </row>
    <row r="203" spans="12:17" x14ac:dyDescent="0.25">
      <c r="L203" s="160"/>
      <c r="M203" s="160"/>
      <c r="N203" s="160"/>
      <c r="O203" s="160"/>
      <c r="P203" s="160"/>
      <c r="Q203" s="190"/>
    </row>
  </sheetData>
  <mergeCells count="2">
    <mergeCell ref="A1:Q1"/>
    <mergeCell ref="A2:Q2"/>
  </mergeCells>
  <pageMargins left="0.7" right="0.7" top="0.75" bottom="0.75" header="0.3" footer="0.3"/>
  <pageSetup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04"/>
  <sheetViews>
    <sheetView workbookViewId="0">
      <selection activeCell="D5" sqref="D5"/>
    </sheetView>
  </sheetViews>
  <sheetFormatPr baseColWidth="10" defaultRowHeight="15" x14ac:dyDescent="0.25"/>
  <cols>
    <col min="1" max="1" width="40.28515625" bestFit="1" customWidth="1"/>
    <col min="2" max="2" width="30.140625" style="67" bestFit="1" customWidth="1"/>
    <col min="3" max="3" width="20.85546875" bestFit="1" customWidth="1"/>
    <col min="4" max="4" width="31.7109375" customWidth="1"/>
    <col min="6" max="6" width="15.85546875" bestFit="1" customWidth="1"/>
  </cols>
  <sheetData>
    <row r="1" spans="1:4" ht="15.75" x14ac:dyDescent="0.25">
      <c r="A1" s="51" t="s">
        <v>56</v>
      </c>
      <c r="B1" s="148" t="s">
        <v>313</v>
      </c>
      <c r="C1" s="148" t="s">
        <v>315</v>
      </c>
    </row>
    <row r="2" spans="1:4" ht="15.75" x14ac:dyDescent="0.25">
      <c r="A2" s="29" t="s">
        <v>146</v>
      </c>
      <c r="B2" s="131">
        <v>133680428896</v>
      </c>
      <c r="C2" s="131">
        <f>+C3+C9+C11</f>
        <v>136609557377</v>
      </c>
    </row>
    <row r="3" spans="1:4" x14ac:dyDescent="0.25">
      <c r="A3" s="149" t="s">
        <v>243</v>
      </c>
      <c r="B3" s="132">
        <v>127744121286</v>
      </c>
      <c r="C3" s="132">
        <v>127744121286</v>
      </c>
    </row>
    <row r="4" spans="1:4" x14ac:dyDescent="0.25">
      <c r="A4" s="36" t="s">
        <v>9</v>
      </c>
      <c r="B4" s="65">
        <v>120801992695</v>
      </c>
      <c r="C4" s="65">
        <v>120801992695</v>
      </c>
    </row>
    <row r="5" spans="1:4" x14ac:dyDescent="0.25">
      <c r="A5" s="36" t="s">
        <v>10</v>
      </c>
      <c r="B5" s="65">
        <v>6052081719</v>
      </c>
      <c r="C5" s="65">
        <v>6052081719</v>
      </c>
    </row>
    <row r="6" spans="1:4" x14ac:dyDescent="0.25">
      <c r="A6" s="36" t="s">
        <v>11</v>
      </c>
      <c r="B6" s="65">
        <v>296508975</v>
      </c>
      <c r="C6" s="65">
        <v>296508975</v>
      </c>
    </row>
    <row r="7" spans="1:4" x14ac:dyDescent="0.25">
      <c r="A7" s="36" t="s">
        <v>13</v>
      </c>
      <c r="B7" s="65">
        <v>193685353</v>
      </c>
      <c r="C7" s="65">
        <v>193685353</v>
      </c>
    </row>
    <row r="8" spans="1:4" x14ac:dyDescent="0.25">
      <c r="A8" s="36" t="s">
        <v>14</v>
      </c>
      <c r="B8" s="65">
        <v>399852544</v>
      </c>
      <c r="C8" s="65">
        <v>399852544</v>
      </c>
    </row>
    <row r="9" spans="1:4" x14ac:dyDescent="0.25">
      <c r="A9" s="149" t="s">
        <v>242</v>
      </c>
      <c r="B9" s="132">
        <v>8396136973</v>
      </c>
      <c r="C9" s="132">
        <v>8396136973</v>
      </c>
    </row>
    <row r="10" spans="1:4" x14ac:dyDescent="0.25">
      <c r="A10" s="36" t="s">
        <v>259</v>
      </c>
      <c r="B10" s="65">
        <v>8396136973</v>
      </c>
      <c r="C10" s="65">
        <v>8396136973</v>
      </c>
    </row>
    <row r="11" spans="1:4" x14ac:dyDescent="0.25">
      <c r="A11" s="149" t="s">
        <v>147</v>
      </c>
      <c r="B11" s="132">
        <v>-2459829363</v>
      </c>
      <c r="C11" s="132">
        <f>+C12</f>
        <v>469299118</v>
      </c>
    </row>
    <row r="12" spans="1:4" ht="30" x14ac:dyDescent="0.25">
      <c r="A12" s="36" t="s">
        <v>18</v>
      </c>
      <c r="B12" s="67">
        <v>-2459829363</v>
      </c>
      <c r="C12" s="65">
        <v>469299118</v>
      </c>
      <c r="D12" s="150" t="s">
        <v>316</v>
      </c>
    </row>
    <row r="13" spans="1:4" ht="15.75" x14ac:dyDescent="0.25">
      <c r="A13" s="29" t="s">
        <v>57</v>
      </c>
      <c r="B13" s="131">
        <f>+B14+B15</f>
        <v>95184468553</v>
      </c>
      <c r="C13" s="131">
        <f>+C14+C15</f>
        <v>126495746525.92403</v>
      </c>
    </row>
    <row r="14" spans="1:4" x14ac:dyDescent="0.25">
      <c r="A14" s="149" t="s">
        <v>48</v>
      </c>
      <c r="B14" s="132">
        <v>6110411144</v>
      </c>
      <c r="C14" s="132">
        <v>6110411144</v>
      </c>
    </row>
    <row r="15" spans="1:4" x14ac:dyDescent="0.25">
      <c r="A15" s="149" t="s">
        <v>142</v>
      </c>
      <c r="B15" s="132">
        <f>+B16+B19+B20+B21</f>
        <v>89074057409</v>
      </c>
      <c r="C15" s="132">
        <f t="shared" ref="C15" si="0">+C16+C19+C20+C21</f>
        <v>120385335381.92403</v>
      </c>
    </row>
    <row r="16" spans="1:4" ht="15.75" x14ac:dyDescent="0.25">
      <c r="A16" s="53" t="s">
        <v>143</v>
      </c>
      <c r="B16" s="66">
        <f>+B17+B18</f>
        <v>87378536839</v>
      </c>
      <c r="C16" s="66">
        <f>+C17+C18</f>
        <v>111888269730</v>
      </c>
    </row>
    <row r="17" spans="1:4" x14ac:dyDescent="0.25">
      <c r="A17" s="121" t="s">
        <v>155</v>
      </c>
      <c r="B17" s="65">
        <v>44913475453</v>
      </c>
      <c r="C17" s="65">
        <v>44913475453</v>
      </c>
    </row>
    <row r="18" spans="1:4" ht="75" x14ac:dyDescent="0.25">
      <c r="A18" s="121" t="s">
        <v>314</v>
      </c>
      <c r="B18" s="65">
        <v>42465061386</v>
      </c>
      <c r="C18" s="65">
        <v>66974794277</v>
      </c>
      <c r="D18" s="150" t="s">
        <v>317</v>
      </c>
    </row>
    <row r="19" spans="1:4" x14ac:dyDescent="0.25">
      <c r="A19" s="59" t="s">
        <v>144</v>
      </c>
      <c r="B19" s="66">
        <v>1476398246</v>
      </c>
      <c r="C19" s="66">
        <v>1476398246</v>
      </c>
    </row>
    <row r="20" spans="1:4" x14ac:dyDescent="0.25">
      <c r="A20" s="59" t="s">
        <v>14</v>
      </c>
      <c r="B20" s="66">
        <v>199534778</v>
      </c>
      <c r="C20" s="66">
        <v>199534778</v>
      </c>
    </row>
    <row r="21" spans="1:4" ht="45" x14ac:dyDescent="0.25">
      <c r="A21" s="59" t="s">
        <v>161</v>
      </c>
      <c r="B21" s="66">
        <v>19587546</v>
      </c>
      <c r="C21" s="66">
        <v>6821132627.9240322</v>
      </c>
      <c r="D21" s="150" t="s">
        <v>318</v>
      </c>
    </row>
    <row r="22" spans="1:4" ht="15.75" x14ac:dyDescent="0.25">
      <c r="B22" s="148">
        <f>+B2-B13</f>
        <v>38495960343</v>
      </c>
      <c r="C22" s="148">
        <f>+C2-C13</f>
        <v>10113810851.075974</v>
      </c>
    </row>
    <row r="23" spans="1:4" x14ac:dyDescent="0.25">
      <c r="B23"/>
      <c r="C23" s="77"/>
    </row>
    <row r="24" spans="1:4" x14ac:dyDescent="0.25">
      <c r="B24"/>
    </row>
    <row r="25" spans="1:4" x14ac:dyDescent="0.25">
      <c r="B25"/>
    </row>
    <row r="26" spans="1:4" x14ac:dyDescent="0.25">
      <c r="B26"/>
    </row>
    <row r="27" spans="1:4" x14ac:dyDescent="0.25">
      <c r="B27"/>
    </row>
    <row r="28" spans="1:4" x14ac:dyDescent="0.25">
      <c r="B28"/>
    </row>
    <row r="29" spans="1:4" x14ac:dyDescent="0.25">
      <c r="B29"/>
    </row>
    <row r="30" spans="1:4" x14ac:dyDescent="0.25">
      <c r="B30"/>
    </row>
    <row r="31" spans="1:4" x14ac:dyDescent="0.25">
      <c r="B31"/>
    </row>
    <row r="32" spans="1:4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A8" sqref="A8"/>
    </sheetView>
  </sheetViews>
  <sheetFormatPr baseColWidth="10" defaultRowHeight="15" x14ac:dyDescent="0.25"/>
  <cols>
    <col min="1" max="1" width="32.7109375" bestFit="1" customWidth="1"/>
    <col min="2" max="2" width="39.28515625" bestFit="1" customWidth="1"/>
    <col min="4" max="5" width="13.140625" bestFit="1" customWidth="1"/>
    <col min="6" max="6" width="14.140625" bestFit="1" customWidth="1"/>
  </cols>
  <sheetData>
    <row r="1" spans="1:11" x14ac:dyDescent="0.25">
      <c r="C1" s="144" t="s">
        <v>300</v>
      </c>
      <c r="D1" s="144" t="s">
        <v>301</v>
      </c>
      <c r="E1" s="144" t="s">
        <v>306</v>
      </c>
      <c r="F1" s="144" t="s">
        <v>309</v>
      </c>
      <c r="G1" s="144" t="s">
        <v>311</v>
      </c>
    </row>
    <row r="2" spans="1:11" x14ac:dyDescent="0.25">
      <c r="A2" t="s">
        <v>291</v>
      </c>
      <c r="B2" t="s">
        <v>292</v>
      </c>
      <c r="C2" s="69">
        <v>340000</v>
      </c>
      <c r="D2" s="68">
        <f>1428000+340000</f>
        <v>1768000</v>
      </c>
      <c r="E2" s="76">
        <v>340000</v>
      </c>
      <c r="F2" s="76">
        <v>340000</v>
      </c>
      <c r="G2" s="76">
        <v>340000</v>
      </c>
    </row>
    <row r="3" spans="1:11" x14ac:dyDescent="0.25">
      <c r="A3" t="s">
        <v>163</v>
      </c>
      <c r="B3" t="s">
        <v>293</v>
      </c>
      <c r="C3" s="69">
        <v>48867231</v>
      </c>
      <c r="D3" s="140">
        <v>48867231</v>
      </c>
      <c r="E3" s="140">
        <v>48867231</v>
      </c>
      <c r="F3" s="140">
        <f>48867231+1600000</f>
        <v>50467231</v>
      </c>
      <c r="G3" s="140">
        <v>68558084</v>
      </c>
    </row>
    <row r="4" spans="1:11" x14ac:dyDescent="0.25">
      <c r="A4" t="s">
        <v>294</v>
      </c>
      <c r="B4" t="s">
        <v>295</v>
      </c>
      <c r="C4" s="141">
        <f>7000000+3500000</f>
        <v>10500000</v>
      </c>
      <c r="D4" s="69"/>
      <c r="E4" s="142">
        <v>7000000</v>
      </c>
      <c r="F4" s="67">
        <v>14000000</v>
      </c>
      <c r="G4" s="141">
        <v>7000000</v>
      </c>
    </row>
    <row r="5" spans="1:11" x14ac:dyDescent="0.25">
      <c r="A5" t="s">
        <v>296</v>
      </c>
      <c r="B5" t="s">
        <v>297</v>
      </c>
      <c r="C5" s="141">
        <v>660001</v>
      </c>
      <c r="D5" s="69">
        <v>3580000</v>
      </c>
      <c r="E5" s="69">
        <v>3580000</v>
      </c>
      <c r="F5" s="69">
        <v>3580000</v>
      </c>
      <c r="G5" s="70">
        <v>2864000</v>
      </c>
    </row>
    <row r="6" spans="1:11" x14ac:dyDescent="0.25">
      <c r="A6" t="s">
        <v>298</v>
      </c>
      <c r="B6" t="s">
        <v>299</v>
      </c>
      <c r="C6" s="69">
        <f>1594344+1749300*3</f>
        <v>6842244</v>
      </c>
      <c r="D6" s="69"/>
      <c r="E6" s="76">
        <f>1881390*2</f>
        <v>3762780</v>
      </c>
      <c r="G6" s="76">
        <v>5967850</v>
      </c>
      <c r="H6" s="69"/>
      <c r="I6" s="69"/>
      <c r="J6" s="69"/>
      <c r="K6" s="69"/>
    </row>
    <row r="7" spans="1:11" x14ac:dyDescent="0.25">
      <c r="A7" t="s">
        <v>302</v>
      </c>
      <c r="B7" t="s">
        <v>303</v>
      </c>
      <c r="D7" s="141">
        <v>25783135</v>
      </c>
      <c r="E7" s="141">
        <v>25880953</v>
      </c>
      <c r="F7" s="141">
        <v>28424221</v>
      </c>
      <c r="G7" s="69">
        <v>26223316</v>
      </c>
    </row>
    <row r="8" spans="1:11" x14ac:dyDescent="0.25">
      <c r="A8" t="s">
        <v>304</v>
      </c>
      <c r="B8" t="s">
        <v>305</v>
      </c>
      <c r="D8" s="76">
        <v>23074000</v>
      </c>
      <c r="E8" s="76">
        <v>41576120</v>
      </c>
      <c r="F8" s="76">
        <v>27234240</v>
      </c>
      <c r="G8" s="76">
        <v>21979200</v>
      </c>
    </row>
    <row r="9" spans="1:11" x14ac:dyDescent="0.25">
      <c r="A9" t="s">
        <v>307</v>
      </c>
      <c r="B9" t="s">
        <v>308</v>
      </c>
      <c r="F9" s="76">
        <v>12116000</v>
      </c>
    </row>
    <row r="10" spans="1:11" x14ac:dyDescent="0.25">
      <c r="A10" t="s">
        <v>310</v>
      </c>
      <c r="F10" s="69">
        <f>372853470*2</f>
        <v>745706940</v>
      </c>
    </row>
    <row r="11" spans="1:11" x14ac:dyDescent="0.25">
      <c r="A11" t="s">
        <v>312</v>
      </c>
      <c r="G11" s="76">
        <v>20944000</v>
      </c>
    </row>
    <row r="13" spans="1:11" x14ac:dyDescent="0.25">
      <c r="D13" s="69">
        <f>+D2+D6+D8</f>
        <v>24842000</v>
      </c>
      <c r="E13" s="69">
        <f>+E2+E8+E6</f>
        <v>45678900</v>
      </c>
      <c r="F13" s="69">
        <f>+F9+F8+F2</f>
        <v>39690240</v>
      </c>
      <c r="G13" s="69">
        <f>+G11+G8+G2+G6</f>
        <v>49231050</v>
      </c>
    </row>
    <row r="14" spans="1:11" x14ac:dyDescent="0.25">
      <c r="E14" s="69">
        <f>+E7</f>
        <v>25880953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topLeftCell="A7" workbookViewId="0">
      <selection activeCell="F20" sqref="F20"/>
    </sheetView>
  </sheetViews>
  <sheetFormatPr baseColWidth="10" defaultRowHeight="15" x14ac:dyDescent="0.25"/>
  <cols>
    <col min="1" max="1" width="37" customWidth="1"/>
    <col min="5" max="5" width="13.28515625" customWidth="1"/>
  </cols>
  <sheetData>
    <row r="1" spans="1:8" x14ac:dyDescent="0.25">
      <c r="A1" s="194" t="s">
        <v>322</v>
      </c>
      <c r="F1" t="s">
        <v>328</v>
      </c>
    </row>
    <row r="2" spans="1:8" x14ac:dyDescent="0.25">
      <c r="A2" s="195" t="s">
        <v>323</v>
      </c>
      <c r="B2" s="185" t="s">
        <v>329</v>
      </c>
      <c r="C2" s="185"/>
      <c r="D2" s="185"/>
    </row>
    <row r="3" spans="1:8" x14ac:dyDescent="0.25">
      <c r="A3" t="s">
        <v>304</v>
      </c>
      <c r="B3" t="s">
        <v>324</v>
      </c>
      <c r="F3" s="189">
        <v>16843113</v>
      </c>
    </row>
    <row r="4" spans="1:8" x14ac:dyDescent="0.25">
      <c r="B4" t="s">
        <v>326</v>
      </c>
      <c r="F4" s="189">
        <v>16843113</v>
      </c>
    </row>
    <row r="5" spans="1:8" x14ac:dyDescent="0.25">
      <c r="B5" t="s">
        <v>325</v>
      </c>
      <c r="F5" s="189">
        <v>3165876</v>
      </c>
    </row>
    <row r="6" spans="1:8" x14ac:dyDescent="0.25">
      <c r="B6" t="s">
        <v>327</v>
      </c>
      <c r="F6" s="189">
        <v>24606720</v>
      </c>
    </row>
    <row r="7" spans="1:8" x14ac:dyDescent="0.25">
      <c r="E7" t="s">
        <v>164</v>
      </c>
      <c r="F7" s="196">
        <f>SUM(F3:F6)</f>
        <v>61458822</v>
      </c>
      <c r="G7" t="s">
        <v>349</v>
      </c>
      <c r="H7" s="189">
        <f>+F7+F11+F13+F15+F17+F23+F27+F29</f>
        <v>299135442</v>
      </c>
    </row>
    <row r="8" spans="1:8" x14ac:dyDescent="0.25">
      <c r="F8" s="186"/>
    </row>
    <row r="9" spans="1:8" x14ac:dyDescent="0.25">
      <c r="A9" s="197" t="s">
        <v>166</v>
      </c>
      <c r="B9" t="s">
        <v>330</v>
      </c>
      <c r="F9" s="189">
        <v>69824764</v>
      </c>
      <c r="G9" t="s">
        <v>349</v>
      </c>
    </row>
    <row r="10" spans="1:8" x14ac:dyDescent="0.25">
      <c r="B10" t="s">
        <v>331</v>
      </c>
      <c r="F10" s="189">
        <v>118008333</v>
      </c>
      <c r="G10" t="s">
        <v>349</v>
      </c>
    </row>
    <row r="11" spans="1:8" x14ac:dyDescent="0.25">
      <c r="E11" t="s">
        <v>164</v>
      </c>
      <c r="F11" s="196">
        <f>SUM(F9:F10)</f>
        <v>187833097</v>
      </c>
    </row>
    <row r="12" spans="1:8" x14ac:dyDescent="0.25">
      <c r="F12" s="186"/>
    </row>
    <row r="13" spans="1:8" x14ac:dyDescent="0.25">
      <c r="A13" s="197" t="s">
        <v>302</v>
      </c>
      <c r="B13" t="s">
        <v>332</v>
      </c>
      <c r="F13" s="189">
        <v>23728600</v>
      </c>
      <c r="G13" t="s">
        <v>349</v>
      </c>
    </row>
    <row r="15" spans="1:8" x14ac:dyDescent="0.25">
      <c r="A15" t="s">
        <v>333</v>
      </c>
      <c r="B15" t="s">
        <v>334</v>
      </c>
      <c r="F15" s="189">
        <v>11519200</v>
      </c>
      <c r="G15" t="s">
        <v>349</v>
      </c>
    </row>
    <row r="17" spans="1:11" x14ac:dyDescent="0.25">
      <c r="A17" t="s">
        <v>336</v>
      </c>
      <c r="B17" t="s">
        <v>335</v>
      </c>
      <c r="F17" s="189">
        <v>5434333</v>
      </c>
      <c r="G17" t="s">
        <v>349</v>
      </c>
    </row>
    <row r="19" spans="1:11" x14ac:dyDescent="0.25">
      <c r="D19" t="s">
        <v>337</v>
      </c>
      <c r="F19" s="208">
        <f>+F7+F11+F13+F15+F17</f>
        <v>289974052</v>
      </c>
      <c r="G19" s="194">
        <v>5111807000</v>
      </c>
      <c r="H19" s="207" t="s">
        <v>354</v>
      </c>
      <c r="K19" t="s">
        <v>356</v>
      </c>
    </row>
    <row r="21" spans="1:11" x14ac:dyDescent="0.25">
      <c r="A21" s="195" t="s">
        <v>338</v>
      </c>
      <c r="B21" s="185" t="s">
        <v>339</v>
      </c>
      <c r="C21" s="185"/>
      <c r="D21" s="185"/>
    </row>
    <row r="23" spans="1:11" x14ac:dyDescent="0.25">
      <c r="A23" t="s">
        <v>340</v>
      </c>
      <c r="B23" t="s">
        <v>341</v>
      </c>
      <c r="F23" s="140">
        <v>3700000</v>
      </c>
      <c r="G23" s="209">
        <v>5111793000</v>
      </c>
      <c r="H23" s="207" t="s">
        <v>355</v>
      </c>
      <c r="K23" t="s">
        <v>356</v>
      </c>
    </row>
    <row r="25" spans="1:11" x14ac:dyDescent="0.25">
      <c r="A25" s="195" t="s">
        <v>342</v>
      </c>
      <c r="B25" s="185" t="s">
        <v>343</v>
      </c>
    </row>
    <row r="27" spans="1:11" x14ac:dyDescent="0.25">
      <c r="A27" t="s">
        <v>345</v>
      </c>
      <c r="B27" t="s">
        <v>344</v>
      </c>
      <c r="F27" s="189">
        <v>3580000</v>
      </c>
      <c r="G27" s="198" t="s">
        <v>347</v>
      </c>
    </row>
    <row r="29" spans="1:11" x14ac:dyDescent="0.25">
      <c r="A29" t="s">
        <v>298</v>
      </c>
      <c r="B29" t="s">
        <v>346</v>
      </c>
      <c r="F29" s="189">
        <v>1881390</v>
      </c>
      <c r="G29" t="s">
        <v>349</v>
      </c>
    </row>
    <row r="30" spans="1:11" x14ac:dyDescent="0.25">
      <c r="D30" s="197"/>
      <c r="E30" s="197"/>
      <c r="F30" s="186"/>
    </row>
    <row r="32" spans="1:11" x14ac:dyDescent="0.25">
      <c r="A32" s="199" t="s">
        <v>348</v>
      </c>
    </row>
    <row r="33" spans="1:12" x14ac:dyDescent="0.25">
      <c r="A33" s="200" t="s">
        <v>319</v>
      </c>
      <c r="B33" s="166"/>
      <c r="C33" s="166"/>
      <c r="D33" s="166"/>
      <c r="G33" s="76">
        <f>+F34+F35+F36+F37+F38</f>
        <v>83993745</v>
      </c>
    </row>
    <row r="34" spans="1:12" x14ac:dyDescent="0.25">
      <c r="A34" t="s">
        <v>304</v>
      </c>
      <c r="F34" s="186">
        <v>61458822</v>
      </c>
    </row>
    <row r="35" spans="1:12" x14ac:dyDescent="0.25">
      <c r="A35" t="s">
        <v>298</v>
      </c>
      <c r="F35" s="206">
        <v>1881390</v>
      </c>
    </row>
    <row r="36" spans="1:12" x14ac:dyDescent="0.25">
      <c r="A36" t="s">
        <v>340</v>
      </c>
      <c r="B36" t="s">
        <v>341</v>
      </c>
      <c r="F36" s="186">
        <v>3700000</v>
      </c>
    </row>
    <row r="37" spans="1:12" x14ac:dyDescent="0.25">
      <c r="A37" t="s">
        <v>336</v>
      </c>
      <c r="B37" t="s">
        <v>335</v>
      </c>
      <c r="F37" s="186">
        <v>5434333</v>
      </c>
      <c r="I37" s="189"/>
    </row>
    <row r="38" spans="1:12" x14ac:dyDescent="0.25">
      <c r="A38" t="s">
        <v>333</v>
      </c>
      <c r="B38" t="s">
        <v>334</v>
      </c>
      <c r="F38" s="197">
        <v>11519200</v>
      </c>
    </row>
    <row r="40" spans="1:12" x14ac:dyDescent="0.25">
      <c r="A40" s="200" t="s">
        <v>92</v>
      </c>
    </row>
    <row r="41" spans="1:12" x14ac:dyDescent="0.25">
      <c r="A41" s="197" t="s">
        <v>302</v>
      </c>
      <c r="B41" t="s">
        <v>332</v>
      </c>
      <c r="G41" s="76">
        <v>23728600</v>
      </c>
    </row>
    <row r="43" spans="1:12" s="153" customFormat="1" x14ac:dyDescent="0.25">
      <c r="A43" s="200" t="s">
        <v>231</v>
      </c>
    </row>
    <row r="44" spans="1:12" s="167" customFormat="1" x14ac:dyDescent="0.25">
      <c r="A44" s="197" t="s">
        <v>166</v>
      </c>
      <c r="B44" t="s">
        <v>330</v>
      </c>
      <c r="C44"/>
      <c r="D44"/>
      <c r="E44"/>
      <c r="F44" s="189">
        <v>69824764</v>
      </c>
      <c r="G44" s="204">
        <f>+F44+F45</f>
        <v>187833097</v>
      </c>
    </row>
    <row r="45" spans="1:12" x14ac:dyDescent="0.25">
      <c r="B45" t="s">
        <v>331</v>
      </c>
      <c r="F45" s="189">
        <v>118008333</v>
      </c>
    </row>
    <row r="47" spans="1:12" s="153" customFormat="1" x14ac:dyDescent="0.25">
      <c r="A47" s="200" t="s">
        <v>247</v>
      </c>
      <c r="I47" s="153" t="s">
        <v>169</v>
      </c>
      <c r="J47" s="153" t="s">
        <v>352</v>
      </c>
    </row>
    <row r="48" spans="1:12" s="153" customFormat="1" x14ac:dyDescent="0.25">
      <c r="A48" t="s">
        <v>345</v>
      </c>
      <c r="B48" t="s">
        <v>344</v>
      </c>
      <c r="G48" s="201">
        <v>3580000</v>
      </c>
      <c r="I48" s="205">
        <v>3580000</v>
      </c>
      <c r="J48" s="205">
        <v>1881390</v>
      </c>
      <c r="K48" s="205">
        <f>+I48+J48</f>
        <v>5461390</v>
      </c>
      <c r="L48" s="207" t="s">
        <v>353</v>
      </c>
    </row>
    <row r="49" spans="1:12" x14ac:dyDescent="0.25">
      <c r="L49" t="s">
        <v>356</v>
      </c>
    </row>
    <row r="50" spans="1:12" x14ac:dyDescent="0.25">
      <c r="A50" s="200" t="s">
        <v>260</v>
      </c>
      <c r="G50" s="166">
        <v>0</v>
      </c>
    </row>
    <row r="51" spans="1:12" x14ac:dyDescent="0.25">
      <c r="E51" t="s">
        <v>350</v>
      </c>
      <c r="G51" s="189">
        <f>+G33+G41+G44+G48</f>
        <v>299135442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PPTO. 2018</vt:lpstr>
      <vt:lpstr>PPTO A PRESENTAR 2018</vt:lpstr>
      <vt:lpstr>Hoja2</vt:lpstr>
      <vt:lpstr>Hoja3 (2)</vt:lpstr>
      <vt:lpstr>OCTUBRE</vt:lpstr>
      <vt:lpstr>'PPTO. 2018'!Títulos_a_imprimir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agudelo zuluaga</dc:creator>
  <cp:lastModifiedBy>Martha Nelly Ceballos Mejía</cp:lastModifiedBy>
  <cp:lastPrinted>2018-12-17T00:22:14Z</cp:lastPrinted>
  <dcterms:created xsi:type="dcterms:W3CDTF">2017-03-06T20:01:41Z</dcterms:created>
  <dcterms:modified xsi:type="dcterms:W3CDTF">2019-01-25T18:39:26Z</dcterms:modified>
</cp:coreProperties>
</file>